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12" tabRatio="934" firstSheet="53" activeTab="54"/>
  </bookViews>
  <sheets>
    <sheet name="заголовоч часть" sheetId="1" r:id="rId1"/>
    <sheet name="заголовоч часть (2)" sheetId="2" r:id="rId2"/>
    <sheet name="текст" sheetId="3" r:id="rId3"/>
    <sheet name="таб1" sheetId="4" r:id="rId4"/>
    <sheet name="таб2_1" sheetId="5" r:id="rId5"/>
    <sheet name="таб2-1-1" sheetId="6" r:id="rId6"/>
    <sheet name="таб2_1_2." sheetId="7" r:id="rId7"/>
    <sheet name="Лист1" sheetId="8" r:id="rId8"/>
    <sheet name="Лист2" sheetId="9" r:id="rId9"/>
    <sheet name="таб2_2" sheetId="10" r:id="rId10"/>
    <sheet name="таб2_3" sheetId="11" r:id="rId11"/>
    <sheet name="таб2_4" sheetId="12" r:id="rId12"/>
    <sheet name="таб.3,4" sheetId="13" r:id="rId13"/>
    <sheet name="Табл.5" sheetId="14" r:id="rId14"/>
    <sheet name="111 ВСЕГО для ДК" sheetId="15" r:id="rId15"/>
    <sheet name="112 Б (2019)" sheetId="16" r:id="rId16"/>
    <sheet name="112 Б (2020)" sheetId="17" r:id="rId17"/>
    <sheet name="111 Б" sheetId="18" r:id="rId18"/>
    <sheet name="112.1Б" sheetId="19" r:id="rId19"/>
    <sheet name="119 Б" sheetId="20" r:id="rId20"/>
    <sheet name="290имБ" sheetId="21" r:id="rId21"/>
    <sheet name="290трБ" sheetId="22" r:id="rId22"/>
    <sheet name="221 Б" sheetId="23" r:id="rId23"/>
    <sheet name="244(223)Б" sheetId="24" r:id="rId24"/>
    <sheet name="225Б" sheetId="25" r:id="rId25"/>
    <sheet name="Лист5" sheetId="26" r:id="rId26"/>
    <sheet name="Лист4" sheetId="27" r:id="rId27"/>
    <sheet name="Лист3" sheetId="28" r:id="rId28"/>
    <sheet name="226 Б" sheetId="29" r:id="rId29"/>
    <sheet name="340 Б" sheetId="30" r:id="rId30"/>
    <sheet name="310Б" sheetId="31" r:id="rId31"/>
    <sheet name="111 ОМС" sheetId="32" r:id="rId32"/>
    <sheet name="266 ОМС" sheetId="33" r:id="rId33"/>
    <sheet name="119 ОМС" sheetId="34" r:id="rId34"/>
    <sheet name="290имОМС" sheetId="35" r:id="rId35"/>
    <sheet name="290зем.ОМС" sheetId="36" r:id="rId36"/>
    <sheet name="290иныеОМС" sheetId="37" r:id="rId37"/>
    <sheet name="290трОМС" sheetId="38" r:id="rId38"/>
    <sheet name="221 ОМС" sheetId="39" r:id="rId39"/>
    <sheet name="244(223)ОМС" sheetId="40" r:id="rId40"/>
    <sheet name="225 ОМС" sheetId="41" r:id="rId41"/>
    <sheet name="ст.227 омс" sheetId="42" r:id="rId42"/>
    <sheet name="226 ОМС" sheetId="43" r:id="rId43"/>
    <sheet name="310 ОМС" sheetId="44" r:id="rId44"/>
    <sheet name="340 ОМС" sheetId="45" r:id="rId45"/>
    <sheet name="111 ВнеБ(дополнит)" sheetId="46" r:id="rId46"/>
    <sheet name="111 ВнеБ осн." sheetId="47" r:id="rId47"/>
    <sheet name="аренда" sheetId="48" r:id="rId48"/>
    <sheet name="266 ВнеБ" sheetId="49" r:id="rId49"/>
    <sheet name="119 ВнеБ" sheetId="50" r:id="rId50"/>
    <sheet name="290иные ВнеБ" sheetId="51" r:id="rId51"/>
    <sheet name="290им ВнеБ" sheetId="52" r:id="rId52"/>
    <sheet name="290тр ВнеБ" sheetId="53" r:id="rId53"/>
    <sheet name="221 ВнеБ" sheetId="54" r:id="rId54"/>
    <sheet name="222 внеб" sheetId="55" r:id="rId55"/>
    <sheet name="244(223)ВнеБ" sheetId="56" r:id="rId56"/>
    <sheet name="225 ВнеБ" sheetId="57" r:id="rId57"/>
    <sheet name="226 ВнеБ" sheetId="58" r:id="rId58"/>
    <sheet name="227 внеб" sheetId="59" r:id="rId59"/>
    <sheet name="310 ВнеБ" sheetId="60" r:id="rId60"/>
    <sheet name="340 ВнеБ" sheetId="61" r:id="rId61"/>
    <sheet name="таб.5" sheetId="62" r:id="rId62"/>
  </sheets>
  <definedNames>
    <definedName name="_xlnm._FilterDatabase" localSheetId="61" hidden="1">'таб.5'!$A$6:$D$6</definedName>
    <definedName name="sub_10082" localSheetId="4">'таб2_1'!$A$2</definedName>
    <definedName name="sub_10082" localSheetId="9">'таб2_2'!$A$2</definedName>
    <definedName name="sub_10082" localSheetId="10">'таб2_3'!$A$2</definedName>
    <definedName name="sub_1008201" localSheetId="4">'таб2_1'!$A$4</definedName>
    <definedName name="sub_1008201" localSheetId="9">'таб2_2'!$A$4</definedName>
    <definedName name="sub_1008201" localSheetId="10">'таб2_3'!$A$4</definedName>
    <definedName name="sub_100821" localSheetId="4">'таб2_1'!$B$21</definedName>
    <definedName name="sub_100821" localSheetId="9">'таб2_2'!$B$21</definedName>
    <definedName name="sub_100821" localSheetId="10">'таб2_3'!$B$21</definedName>
    <definedName name="sub_100822" localSheetId="4">'таб2_1'!$B$24</definedName>
    <definedName name="sub_100822" localSheetId="9">'таб2_2'!$B$24</definedName>
    <definedName name="sub_100822" localSheetId="10">'таб2_3'!$B$24</definedName>
    <definedName name="sub_100823" localSheetId="4">'таб2_1'!$B$27</definedName>
    <definedName name="sub_100823" localSheetId="9">'таб2_2'!$B$27</definedName>
    <definedName name="sub_100823" localSheetId="10">'таб2_3'!$B$27</definedName>
    <definedName name="sub_100824" localSheetId="4">'таб2_1'!$B$28</definedName>
    <definedName name="sub_100824" localSheetId="9">'таб2_2'!$B$28</definedName>
    <definedName name="sub_100824" localSheetId="10">'таб2_3'!$B$28</definedName>
    <definedName name="sub_100825" localSheetId="4">'таб2_1'!$B$29</definedName>
    <definedName name="sub_100825" localSheetId="9">'таб2_2'!$B$29</definedName>
    <definedName name="sub_100825" localSheetId="10">'таб2_3'!$B$29</definedName>
    <definedName name="sub_100826" localSheetId="4">'таб2_1'!$B$30</definedName>
    <definedName name="sub_100826" localSheetId="9">'таб2_2'!$B$30</definedName>
    <definedName name="sub_100826" localSheetId="10">'таб2_3'!$B$30</definedName>
    <definedName name="sub_100827" localSheetId="4">'таб2_1'!$B$31</definedName>
    <definedName name="sub_100827" localSheetId="9">'таб2_2'!$B$31</definedName>
    <definedName name="sub_100827" localSheetId="10">'таб2_3'!$B$31</definedName>
    <definedName name="sub_100828" localSheetId="4">'таб2_1'!$B$32</definedName>
    <definedName name="sub_100828" localSheetId="9">'таб2_2'!$B$32</definedName>
    <definedName name="sub_100828" localSheetId="10">'таб2_3'!$B$32</definedName>
    <definedName name="sub_100829" localSheetId="4">'таб2_1'!$B$37</definedName>
    <definedName name="sub_100829" localSheetId="9">'таб2_2'!$B$37</definedName>
    <definedName name="sub_100829" localSheetId="10">'таб2_3'!$B$37</definedName>
    <definedName name="sub_10083" localSheetId="11">'таб2_4'!$L$1</definedName>
    <definedName name="sub_100831" localSheetId="11">'таб2_4'!$B$10</definedName>
    <definedName name="sub_100832" localSheetId="11">'таб2_4'!#REF!</definedName>
    <definedName name="sub_100833" localSheetId="11">'таб2_4'!$B$16</definedName>
    <definedName name="sub_100834" localSheetId="11">'таб2_4'!$A$9</definedName>
    <definedName name="sub_10084" localSheetId="12">'таб.3,4'!$C$1</definedName>
    <definedName name="sub_100841" localSheetId="12">'таб.3,4'!$A$10</definedName>
    <definedName name="sub_100842" localSheetId="12">'таб.3,4'!$B$11</definedName>
    <definedName name="sub_100843" localSheetId="12">'таб.3,4'!$B$12</definedName>
    <definedName name="sub_100844" localSheetId="12">'таб.3,4'!$B$14</definedName>
    <definedName name="sub_10085" localSheetId="12">'таб.3,4'!$C$17</definedName>
    <definedName name="sub_100851" localSheetId="12">'таб.3,4'!$A$27</definedName>
    <definedName name="sub_100852" localSheetId="12">'таб.3,4'!$A$23</definedName>
    <definedName name="sub_100853" localSheetId="12">'таб.3,4'!#REF!</definedName>
    <definedName name="sub_108210" localSheetId="4">'таб2_1'!$B$38</definedName>
    <definedName name="sub_108210" localSheetId="9">'таб2_2'!$B$38</definedName>
    <definedName name="sub_108210" localSheetId="10">'таб2_3'!$B$38</definedName>
    <definedName name="sub_108211" localSheetId="4">'таб2_1'!$A$39</definedName>
    <definedName name="sub_108211" localSheetId="9">'таб2_2'!$A$39</definedName>
    <definedName name="sub_108211" localSheetId="10">'таб2_3'!$A$39</definedName>
    <definedName name="sub_108212" localSheetId="4">'таб2_1'!$A$45</definedName>
    <definedName name="sub_108212" localSheetId="9">'таб2_2'!$A$45</definedName>
    <definedName name="sub_108212" localSheetId="10">'таб2_3'!$A$45</definedName>
    <definedName name="sub_108213" localSheetId="4">'таб2_1'!$A$55</definedName>
    <definedName name="sub_108213" localSheetId="9">'таб2_2'!$A$55</definedName>
    <definedName name="sub_108213" localSheetId="10">'таб2_3'!$A$55</definedName>
    <definedName name="sub_108214" localSheetId="4">'таб2_1'!$A$61</definedName>
    <definedName name="sub_108214" localSheetId="9">'таб2_2'!$A$61</definedName>
    <definedName name="sub_108214" localSheetId="10">'таб2_3'!$A$61</definedName>
    <definedName name="sub_108216" localSheetId="4">'таб2_1'!$A$67</definedName>
    <definedName name="sub_108216" localSheetId="9">'таб2_2'!$A$67</definedName>
    <definedName name="sub_108216" localSheetId="10">'таб2_3'!$A$67</definedName>
    <definedName name="sub_108217" localSheetId="4">'таб2_1'!$A$82</definedName>
    <definedName name="sub_108217" localSheetId="9">'таб2_2'!$A$81</definedName>
    <definedName name="sub_108217" localSheetId="10">'таб2_3'!$A$81</definedName>
    <definedName name="sub_108218" localSheetId="4">'таб2_1'!$A$83</definedName>
    <definedName name="sub_108218" localSheetId="9">'таб2_2'!$A$82</definedName>
    <definedName name="sub_108218" localSheetId="10">'таб2_3'!$A$82</definedName>
    <definedName name="sub_108220" localSheetId="4">'таб2_1'!$A$86</definedName>
    <definedName name="sub_108220" localSheetId="9">'таб2_2'!$A$85</definedName>
    <definedName name="sub_108220" localSheetId="10">'таб2_3'!$A$85</definedName>
    <definedName name="sub_108221" localSheetId="4">'таб2_1'!$A$87</definedName>
    <definedName name="sub_108221" localSheetId="9">'таб2_2'!$A$86</definedName>
    <definedName name="sub_108221" localSheetId="10">'таб2_3'!$A$86</definedName>
    <definedName name="sub_108224" localSheetId="4">'таб2_1'!$A$90</definedName>
    <definedName name="sub_108224" localSheetId="9">'таб2_2'!$A$89</definedName>
    <definedName name="sub_108224" localSheetId="10">'таб2_3'!$A$89</definedName>
    <definedName name="_xlnm.Print_Titles" localSheetId="17">'111 Б'!$20:$20</definedName>
    <definedName name="_xlnm.Print_Titles" localSheetId="46">'111 ВнеБ осн.'!$20:$20</definedName>
    <definedName name="_xlnm.Print_Titles" localSheetId="45">'111 ВнеБ(дополнит)'!$20:$20</definedName>
    <definedName name="_xlnm.Print_Titles" localSheetId="14">'111 ВСЕГО для ДК'!$20:$20</definedName>
    <definedName name="_xlnm.Print_Titles" localSheetId="31">'111 ОМС'!$20:$20</definedName>
    <definedName name="_xlnm.Print_Titles" localSheetId="61">'таб.5'!$6:$6</definedName>
    <definedName name="_xlnm.Print_Titles" localSheetId="4">'таб2_1'!$19:$19</definedName>
    <definedName name="_xlnm.Print_Titles" localSheetId="9">'таб2_2'!$19:$19</definedName>
    <definedName name="_xlnm.Print_Titles" localSheetId="10">'таб2_3'!$19:$19</definedName>
    <definedName name="_xlnm.Print_Area" localSheetId="46">'111 ВнеБ осн.'!$A$1:$K$41</definedName>
    <definedName name="_xlnm.Print_Area" localSheetId="19">'119 Б'!$A$1:$D$31</definedName>
    <definedName name="_xlnm.Print_Area" localSheetId="49">'119 ВнеБ'!$A$1:$D$31</definedName>
    <definedName name="_xlnm.Print_Area" localSheetId="33">'119 ОМС'!$A$1:$D$32</definedName>
    <definedName name="_xlnm.Print_Area" localSheetId="22">'221 Б'!$A$1:$I$28</definedName>
    <definedName name="_xlnm.Print_Area" localSheetId="38">'221 ОМС'!$A$1:$F$29</definedName>
    <definedName name="_xlnm.Print_Area" localSheetId="56">'225 ВнеБ'!$A$1:$F$51</definedName>
    <definedName name="_xlnm.Print_Area" localSheetId="40">'225 ОМС'!$A$1:$F$48</definedName>
    <definedName name="_xlnm.Print_Area" localSheetId="24">'225Б'!$A$1:$F$51</definedName>
    <definedName name="_xlnm.Print_Area" localSheetId="28">'226 Б'!$A$1:$F$52</definedName>
    <definedName name="_xlnm.Print_Area" localSheetId="57">'226 ВнеБ'!$A$1:$F$54</definedName>
    <definedName name="_xlnm.Print_Area" localSheetId="42">'226 ОМС'!$A$1:$F$56</definedName>
    <definedName name="_xlnm.Print_Area" localSheetId="23">'244(223)Б'!$A$1:$I$28</definedName>
    <definedName name="_xlnm.Print_Area" localSheetId="55">'244(223)ВнеБ'!$A$1:$E$28</definedName>
    <definedName name="_xlnm.Print_Area" localSheetId="39">'244(223)ОМС'!$A$1:$E$28</definedName>
    <definedName name="_xlnm.Print_Area" localSheetId="35">'290зем.ОМС'!$A$1:$E$26</definedName>
    <definedName name="_xlnm.Print_Area" localSheetId="51">'290им ВнеБ'!$A$1:$E$33</definedName>
    <definedName name="_xlnm.Print_Area" localSheetId="20">'290имБ'!$B$1:$G$31</definedName>
    <definedName name="_xlnm.Print_Area" localSheetId="34">'290имОМС'!$A$1:$E$27</definedName>
    <definedName name="_xlnm.Print_Area" localSheetId="50">'290иные ВнеБ'!$A$1:$F$38</definedName>
    <definedName name="_xlnm.Print_Area" localSheetId="52">'290тр ВнеБ'!$A$1:$F$39</definedName>
    <definedName name="_xlnm.Print_Area" localSheetId="59">'310 ВнеБ'!$A$1:$F$31</definedName>
    <definedName name="_xlnm.Print_Area" localSheetId="43">'310 ОМС'!$A$1:$F$39</definedName>
    <definedName name="_xlnm.Print_Area" localSheetId="30">'310Б'!$A$1:$E$26</definedName>
    <definedName name="_xlnm.Print_Area" localSheetId="29">'340 Б'!$A$1:$D$39</definedName>
    <definedName name="_xlnm.Print_Area" localSheetId="60">'340 ВнеБ'!$A$1:$D$39</definedName>
    <definedName name="_xlnm.Print_Area" localSheetId="44">'340 ОМС'!$A$1:$D$39</definedName>
    <definedName name="_xlnm.Print_Area" localSheetId="0">'заголовоч часть'!$A$1:$H$29</definedName>
    <definedName name="_xlnm.Print_Area" localSheetId="1">'заголовоч часть (2)'!$A$1:$H$29</definedName>
    <definedName name="_xlnm.Print_Area" localSheetId="7">'Лист1'!$A$1:$U$44</definedName>
    <definedName name="_xlnm.Print_Area" localSheetId="8">'Лист2'!$A$1:$U$45</definedName>
    <definedName name="_xlnm.Print_Area" localSheetId="6">'таб2_1_2.'!$A$1:$U$48</definedName>
    <definedName name="_xlnm.Print_Area" localSheetId="11">'таб2_4'!$A$1:$L$125</definedName>
  </definedNames>
  <calcPr fullCalcOnLoad="1"/>
</workbook>
</file>

<file path=xl/comments2.xml><?xml version="1.0" encoding="utf-8"?>
<comments xmlns="http://schemas.openxmlformats.org/spreadsheetml/2006/main">
  <authors>
    <author>Шабельник Ю. А.</author>
  </authors>
  <commentList>
    <comment ref="A6" authorId="0">
      <text>
        <r>
          <rPr>
            <b/>
            <sz val="9"/>
            <rFont val="Tahoma"/>
            <family val="2"/>
          </rPr>
          <t>Шабельник Ю. А.:</t>
        </r>
        <r>
          <rPr>
            <sz val="9"/>
            <rFont val="Tahoma"/>
            <family val="2"/>
          </rPr>
          <t xml:space="preserve">
на время отсутствия Л.Г.Кадзаевой согласовывает планы Т.А.Солоненко</t>
        </r>
      </text>
    </comment>
  </commentList>
</comments>
</file>

<file path=xl/sharedStrings.xml><?xml version="1.0" encoding="utf-8"?>
<sst xmlns="http://schemas.openxmlformats.org/spreadsheetml/2006/main" count="3124" uniqueCount="755">
  <si>
    <t xml:space="preserve">Дата </t>
  </si>
  <si>
    <t>Глава по БК</t>
  </si>
  <si>
    <t>по ОКЕИ</t>
  </si>
  <si>
    <t>по ОКВ</t>
  </si>
  <si>
    <t>Адрес фактического местонахождения</t>
  </si>
  <si>
    <t>Наименование органа, осуществляющего функции и полномочия учредителя</t>
  </si>
  <si>
    <t xml:space="preserve">Реквизиты учреждения </t>
  </si>
  <si>
    <t>ПРИЛОЖЕНИЕ   № 1</t>
  </si>
  <si>
    <t>министерству  здравоохранения  Краснодарского  края</t>
  </si>
  <si>
    <t xml:space="preserve">деятельности  государственного  учреждения,  подведомственного  </t>
  </si>
  <si>
    <t>ПЛАН</t>
  </si>
  <si>
    <t xml:space="preserve"> ИНН</t>
  </si>
  <si>
    <t xml:space="preserve"> </t>
  </si>
  <si>
    <t>Приложение N 2</t>
  </si>
  <si>
    <t>деятельности государственного</t>
  </si>
  <si>
    <t>учреждения, подведомственного</t>
  </si>
  <si>
    <t>министерству здравоохранения</t>
  </si>
  <si>
    <t>Краснодарского края</t>
  </si>
  <si>
    <t>1. Цели деятельности государственного учреждения:</t>
  </si>
  <si>
    <t>2. Основные виды деятельности государственного учреждения:</t>
  </si>
  <si>
    <t>Наименование показателя</t>
  </si>
  <si>
    <t>в том числе</t>
  </si>
  <si>
    <t xml:space="preserve">        к  Порядку составления   плана  финансово-хозяйственной</t>
  </si>
  <si>
    <t>М.П.</t>
  </si>
  <si>
    <t>СОГЛАСОВАНО</t>
  </si>
  <si>
    <t>(подпись)                                      (ФИО)</t>
  </si>
  <si>
    <t>3.   Перечень  услуг  (работ), 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</si>
  <si>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 xml:space="preserve">            КПП</t>
  </si>
  <si>
    <t xml:space="preserve">                                                              УТВЕРЖДАЮ</t>
  </si>
  <si>
    <t>(подпись)</t>
  </si>
  <si>
    <t xml:space="preserve">              (ФИО)</t>
  </si>
  <si>
    <t xml:space="preserve">к  Порядку составления  </t>
  </si>
  <si>
    <t>плана финансово-хозяйственной</t>
  </si>
  <si>
    <t>Приложение N 3</t>
  </si>
  <si>
    <t xml:space="preserve">                                                                                                                  Таблица № 1</t>
  </si>
  <si>
    <t xml:space="preserve">                 (на последнюю отчетную дату, предшествующую дате составления)</t>
  </si>
  <si>
    <t>Сумма, руб.</t>
  </si>
  <si>
    <t>I. 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</si>
  <si>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</si>
  <si>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</si>
  <si>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</si>
  <si>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остаточная стоимость недвижимого государственного имущества</t>
  </si>
  <si>
    <t>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</si>
  <si>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</si>
  <si>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</si>
  <si>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II. Финансовые активы, всего</t>
  </si>
  <si>
    <t>денежные средства учреждения, всего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</si>
  <si>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</si>
  <si>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</si>
  <si>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</si>
  <si>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</si>
  <si>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</si>
  <si>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III. Обязательства, всего</t>
  </si>
  <si>
    <t>долговые обязательства</t>
  </si>
  <si>
    <t>кредиторская задолженность</t>
  </si>
  <si>
    <t xml:space="preserve">Показатели финансового состояния учреждения </t>
  </si>
  <si>
    <t>Код строки</t>
  </si>
  <si>
    <t>всего</t>
  </si>
  <si>
    <t>из них гранты</t>
  </si>
  <si>
    <t>Остаток средств на начало года</t>
  </si>
  <si>
    <t>Х</t>
  </si>
  <si>
    <t>Возврат неиспользованных остатков субсидий прошлых 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</si>
  <si>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</si>
  <si>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X</t>
  </si>
  <si>
    <t>Выплаты по расходам, всего: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</si>
  <si>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</si>
  <si>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Предоставление платежей, взносов, безвозмездных перечислений субъектам международного права</t>
  </si>
  <si>
    <t>Капитальные вложения в объекты государственной (муниципальной) собственности, вт.ч.:</t>
  </si>
  <si>
    <t>Прочая закупка товаров, работ и услуг для обеспечения государственных (муниципальных) нужд, в т.ч.:</t>
  </si>
  <si>
    <t>Поступление финансовых активов, всего:</t>
  </si>
  <si>
    <t>Выбытие финансовых активов, всего</t>
  </si>
  <si>
    <t>Остаток средств на конец года</t>
  </si>
  <si>
    <t>Код по бюджетной классификации Российской Федерации</t>
  </si>
  <si>
    <t>Субсидии на финансовое обеспечение выполнения государственного задания</t>
  </si>
  <si>
    <t>Объем финансового обеспечения, руб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</si>
  <si>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</si>
  <si>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</si>
  <si>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</si>
  <si>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</si>
  <si>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года, всего:</t>
  </si>
  <si>
    <t xml:space="preserve">в том числе: </t>
  </si>
  <si>
    <t xml:space="preserve"> 001</t>
  </si>
  <si>
    <t>101</t>
  </si>
  <si>
    <t>102</t>
  </si>
  <si>
    <t>Поступления, всего:</t>
  </si>
  <si>
    <t>Доходы от использования имущества, находящегося в государственной собственности и переданного в аренду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</si>
  <si>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</si>
  <si>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</si>
  <si>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</si>
  <si>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</si>
  <si>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</si>
  <si>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активами: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</si>
  <si>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</si>
  <si>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</si>
  <si>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</si>
  <si>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Всего</t>
  </si>
  <si>
    <t>Показатели по поступлениям и выплатам учреждения</t>
  </si>
  <si>
    <t>всего на закупки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</si>
  <si>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</si>
  <si>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</si>
  <si>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дляобеспечения государственных и муниципальных нужд</t>
  </si>
  <si>
    <t>в соответствии с Федеральным законом от 18 июля 2011 г.N 223-ФЗ "О закупках товаров,работ, услуг отдельными видамиюридических лиц"</t>
  </si>
  <si>
    <t>Сумма выплат по расходам на закупку товаров, работ и услуг, руб (с точностью до двух знаков после запятой - 0,00)</t>
  </si>
  <si>
    <t>на 20___г. очередной финансовый год</t>
  </si>
  <si>
    <t>на 20___г.     1-ый год планового периода</t>
  </si>
  <si>
    <t>на 20___г.    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</si>
  <si>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</si>
  <si>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</si>
  <si>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</si>
  <si>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Проверка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</si>
  <si>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</si>
  <si>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</si>
  <si>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</si>
  <si>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</si>
  <si>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</si>
  <si>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</si>
  <si>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</si>
  <si>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(тыс.руб)</t>
  </si>
  <si>
    <t>Таблица 5</t>
  </si>
  <si>
    <t>Обоснование  и расчеты по вносимым изменениям</t>
  </si>
  <si>
    <t>Поступления: всего</t>
  </si>
  <si>
    <t>Выплаты всего:</t>
  </si>
  <si>
    <t>Сумма изменений (+/-), (руб, с точностью до двух знаков после запятой - 0,00)</t>
  </si>
  <si>
    <t xml:space="preserve">Всего (по всем источникам финансового обеспечения) </t>
  </si>
  <si>
    <t xml:space="preserve">Руководитель учреждения                                               </t>
  </si>
  <si>
    <t xml:space="preserve">Руководитель финансово-экономической службы            </t>
  </si>
  <si>
    <t xml:space="preserve">Главный бухгалтер                                                                   </t>
  </si>
  <si>
    <t>(расшифровка подписи)</t>
  </si>
  <si>
    <t>тел.</t>
  </si>
  <si>
    <t xml:space="preserve">Субсидии на финансовое обеспечение выполнения государственного задания  </t>
  </si>
  <si>
    <t>Сведения о вносимых изменениях № ______ по состоянию на «__»_______________________20__ год *</t>
  </si>
  <si>
    <t>________________</t>
  </si>
  <si>
    <t xml:space="preserve">* Примечание: при оформлении  таблицы необходимо применить "Фильтр" по графе 3  "Не пустые строки" </t>
  </si>
  <si>
    <t xml:space="preserve">                                                                                                                  Таблица № 2.1</t>
  </si>
  <si>
    <t xml:space="preserve">Таблица 2.4 </t>
  </si>
  <si>
    <t xml:space="preserve">                                                                           (Должность лица, утверждающего документ)</t>
  </si>
  <si>
    <t>Первый заместитель министра здравоохранения Краснодарского края</t>
  </si>
  <si>
    <t>(Должность лица, согласовывающего документ)</t>
  </si>
  <si>
    <r>
      <t xml:space="preserve">________________              </t>
    </r>
    <r>
      <rPr>
        <u val="single"/>
        <sz val="14"/>
        <color indexed="8"/>
        <rFont val="Times New Roman"/>
        <family val="1"/>
      </rPr>
      <t>Л.Г.Кадзаева</t>
    </r>
  </si>
  <si>
    <t xml:space="preserve">Наименование  учреждения </t>
  </si>
  <si>
    <t>Министерство здравоохранения Краснодарского края</t>
  </si>
  <si>
    <t>Код по ОКПО</t>
  </si>
  <si>
    <t>Единица измерения: руб. (с точностью до двух знаков после запятой - 0,00)</t>
  </si>
  <si>
    <t>«___»_____________20____г.</t>
  </si>
  <si>
    <t>x</t>
  </si>
  <si>
    <t>Итого:</t>
  </si>
  <si>
    <t>компенсация расходов по найму жилого помещения</t>
  </si>
  <si>
    <t>компенсация расходов по проезду в служебные командировки</t>
  </si>
  <si>
    <t>компенсация дополнительных расходов, связанных с проживанием вне места постоянного жительства (суточных)</t>
  </si>
  <si>
    <t>Выплаты персоналу при направлении в служебные командировки на территории иностранных государств</t>
  </si>
  <si>
    <t>Выплаты персоналу при направлении в служебные командировки в пределах территории Российской Федерации</t>
  </si>
  <si>
    <t>(гр.3 х гр.4 х гр.5)</t>
  </si>
  <si>
    <t xml:space="preserve">Сумма, руб. </t>
  </si>
  <si>
    <t>Количество дней</t>
  </si>
  <si>
    <t>Количество работников, чел</t>
  </si>
  <si>
    <t>Средний размер выплаты на одного работника в день, руб.</t>
  </si>
  <si>
    <t>Наименование расходов</t>
  </si>
  <si>
    <t>№ п/п</t>
  </si>
  <si>
    <t>Расчеты (обоснования) выплат персоналу при направлении в служебные командировки</t>
  </si>
  <si>
    <t>Приложение № 4</t>
  </si>
  <si>
    <t>Газ (включая транспортировку) (тыс.м.куб)</t>
  </si>
  <si>
    <t>Ассенизация (м.куб), всего</t>
  </si>
  <si>
    <t>Водоотведение (м.куб), всего</t>
  </si>
  <si>
    <t>Холодное водоснабжение (для нужд) ГВС (м.куб), всего</t>
  </si>
  <si>
    <t>Холодное водоснабжение (м.куб), всего</t>
  </si>
  <si>
    <t>Горячее водоснабжение (м.куб), всего</t>
  </si>
  <si>
    <t>Теплоснабжение (Гкал), всего</t>
  </si>
  <si>
    <t>Электроснабжение (КВт/час), всего</t>
  </si>
  <si>
    <t>Размер потребления ресурсов</t>
  </si>
  <si>
    <t>Расчет (обоснование) расходов на оплату коммунальных услуг</t>
  </si>
  <si>
    <t>Пособие по уходу за ребенком</t>
  </si>
  <si>
    <t>Размер выплаты (пособия) в месяц, руб.</t>
  </si>
  <si>
    <t>Количество выплат в год на одного работника</t>
  </si>
  <si>
    <t>Численность работников, получающих пособие</t>
  </si>
  <si>
    <t>Страховые взносы на обязательное медицинское страхование, всего (по ставке 5,1%)</t>
  </si>
  <si>
    <t>Страховые взносы  обязательное социальное страхование от несчастных случаев на производстве и профессиональных заболеваний по ставке 0,2%</t>
  </si>
  <si>
    <t>по ставке 10,0%</t>
  </si>
  <si>
    <t>по ставке 22,0%</t>
  </si>
  <si>
    <t>Сумма взноса, руб.</t>
  </si>
  <si>
    <t>Размер базы для начисления страховых взносов, руб.</t>
  </si>
  <si>
    <t>Наименование взноса</t>
  </si>
  <si>
    <t>Расчеты (обоснования) страховых взносов на обязательное 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на обязательное социальное страхование от несчастных случаев на производстве и профессиональных заболеваний.</t>
  </si>
  <si>
    <t>Услуги фельдъегерской и специальной связи</t>
  </si>
  <si>
    <t>Пересылка почтовой корреспонденции с использованием франкировальной машины</t>
  </si>
  <si>
    <t>Услуги телефонно-телеграфной, факсимильной, пейджинговой связи, радиосвязи</t>
  </si>
  <si>
    <t>Оплата сотовой связи по тарифам</t>
  </si>
  <si>
    <t>Стоимость за единицу, руб.</t>
  </si>
  <si>
    <t>Количество платежей в год</t>
  </si>
  <si>
    <t>Количество номеров</t>
  </si>
  <si>
    <t xml:space="preserve"> Расчет (обоснование) расходов на оплату услуг связи</t>
  </si>
  <si>
    <t>в том числе по объектам:</t>
  </si>
  <si>
    <t>Аренда движимого имущества</t>
  </si>
  <si>
    <t>Аренда недвижимого имущества</t>
  </si>
  <si>
    <t>Стоимость с учетом НДС, руб.</t>
  </si>
  <si>
    <t>Ставка арендной платы</t>
  </si>
  <si>
    <t>Количество</t>
  </si>
  <si>
    <t>Расчет (обоснование) расходов на оплату аренды имущества</t>
  </si>
  <si>
    <t>Противопожарные мероприятия, связанные с содержанием имущества</t>
  </si>
  <si>
    <t>поддержание технико-экономических и эксплуатационных показателей объектов имущества</t>
  </si>
  <si>
    <t>устранение неисправностей (восстановление работоспособности) объектов имущества</t>
  </si>
  <si>
    <t>Ремонт (текущий и капитальный) имущества</t>
  </si>
  <si>
    <t>прачечные услуги</t>
  </si>
  <si>
    <t>мойка и чистка (химчистка) имущества (транспорта и т. д.)</t>
  </si>
  <si>
    <t>Содержание объектов движимого имущества в чистоте</t>
  </si>
  <si>
    <t>санитарно-гигиеническое обслуживание, мойка и чистка помещений, окон, натирка полов</t>
  </si>
  <si>
    <t>дезинфекция, дезинсекция, дератизация, газация</t>
  </si>
  <si>
    <t>вывоз снега, мусора, твердых бытовых и промышленных отходов</t>
  </si>
  <si>
    <t>уборка снега, мусора</t>
  </si>
  <si>
    <t>Содержание объектов недвижимого имущества в чистоте</t>
  </si>
  <si>
    <t>Стоимость работ (услуг), руб.</t>
  </si>
  <si>
    <t>Количество работ (услуг)</t>
  </si>
  <si>
    <t>Расчет (обоснование) расходов на оплату работ, услуг по содержанию имущества</t>
  </si>
  <si>
    <t>Приобретение (обновление) программного обеспечения</t>
  </si>
  <si>
    <t>Оплата информационно-вычислительных и информационно-правовых услуг</t>
  </si>
  <si>
    <t>Оплата услуг вневедомственной, пожарной охраны, всего</t>
  </si>
  <si>
    <t>Оплата услуг на страхование гражданской ответственности владельцев транспортных средств</t>
  </si>
  <si>
    <t>Стоимость услуги, руб.</t>
  </si>
  <si>
    <t>Количество договоров</t>
  </si>
  <si>
    <t>Расчет (обоснование) расходов на оплату прочих работ, услуг</t>
  </si>
  <si>
    <t>Таблица 2</t>
  </si>
  <si>
    <t>Расчет (обоснование) расходов на оплату налога на имущество</t>
  </si>
  <si>
    <t>Налоговая база, руб.</t>
  </si>
  <si>
    <t>Ставка налога, %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</si>
  <si>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</si>
  <si>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</si>
  <si>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</si>
  <si>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</si>
  <si>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Расчет (обоснование) расходов на оплату земельного налога</t>
  </si>
  <si>
    <t>Кадастровая стоимость земельного участка</t>
  </si>
  <si>
    <t>Земельный налог, всего</t>
  </si>
  <si>
    <t>в том числе по участкам:</t>
  </si>
  <si>
    <t>Расчет (обоснование) расходов на оплату прочих налогов и сборов</t>
  </si>
  <si>
    <t xml:space="preserve">Всего, руб. </t>
  </si>
  <si>
    <t>Транспортный налог</t>
  </si>
  <si>
    <t>Расчет (обоснование) расходов на приобретение основных средств</t>
  </si>
  <si>
    <t>Средняя стоимость, руб.</t>
  </si>
  <si>
    <t>Сумма руб. (гр.2 х гр.3)</t>
  </si>
  <si>
    <t>Расчет (обоснование) расходов на приобретение материальных запасов</t>
  </si>
  <si>
    <t>Единица измерения</t>
  </si>
  <si>
    <t>Строительные материалы</t>
  </si>
  <si>
    <t>Запчасти к оборудованию, транспортным средствам</t>
  </si>
  <si>
    <t>Спец.одежда и обувь</t>
  </si>
  <si>
    <t>Канцелярские принадлежности</t>
  </si>
  <si>
    <t xml:space="preserve">Хозяйственные товары </t>
  </si>
  <si>
    <t>Моющие средства</t>
  </si>
  <si>
    <t>Главный бухгалтер</t>
  </si>
  <si>
    <t>Тариф (с учетом НДС), руб.</t>
  </si>
  <si>
    <t>Сумма, руб. (гр.4 х гр.5 х гр.6)</t>
  </si>
  <si>
    <t>Таблица 4</t>
  </si>
  <si>
    <t>6  = гр.3 х гр.4 х гр.5</t>
  </si>
  <si>
    <t>Таблица 6</t>
  </si>
  <si>
    <t>Таблица 8</t>
  </si>
  <si>
    <t>наименование источника финансового обеспечения</t>
  </si>
  <si>
    <t>243 вид расходов</t>
  </si>
  <si>
    <t>244 вид расходов</t>
  </si>
  <si>
    <t>Таблица 9</t>
  </si>
  <si>
    <t>Таблица 10</t>
  </si>
  <si>
    <t>5 = гр.3 х гр.4</t>
  </si>
  <si>
    <t xml:space="preserve">Сумма,  руб. </t>
  </si>
  <si>
    <t>Налог на имущество всего,</t>
  </si>
  <si>
    <t>Таблица 12</t>
  </si>
  <si>
    <t>Таблица 13</t>
  </si>
  <si>
    <t>Налог на прибыль:</t>
  </si>
  <si>
    <t>Таблица 14</t>
  </si>
  <si>
    <t>Таблица 16</t>
  </si>
  <si>
    <t>Приобретение медицинского оборудования:</t>
  </si>
  <si>
    <t>Приобретение медицинского инструментария:</t>
  </si>
  <si>
    <t>Приобретение прочих основных средств:</t>
  </si>
  <si>
    <t>Таблица 17</t>
  </si>
  <si>
    <t>Лекарственные препараты</t>
  </si>
  <si>
    <t>Перевязочные средства</t>
  </si>
  <si>
    <t>Медицинский инструментарий</t>
  </si>
  <si>
    <t>Продукты питания</t>
  </si>
  <si>
    <t>Реактивы и химикаты, стекло и хим.посуда</t>
  </si>
  <si>
    <t>Горюче-смазочные материалы</t>
  </si>
  <si>
    <t>Мягкий инвентарь</t>
  </si>
  <si>
    <t xml:space="preserve">в том, числе </t>
  </si>
  <si>
    <t>Прочие материалы всего :</t>
  </si>
  <si>
    <t xml:space="preserve">Наименование </t>
  </si>
  <si>
    <t>Должность, группа должностей</t>
  </si>
  <si>
    <t>Установленная штатная численность, единиц</t>
  </si>
  <si>
    <t>Фонд оплаты труда  по тарификации на 1 месяц, тыс.руб.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</si>
  <si>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</si>
  <si>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</si>
  <si>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</si>
  <si>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Главный врач</t>
  </si>
  <si>
    <t>Заместитель главного врача (мед. персонал)</t>
  </si>
  <si>
    <t>Заместитель главного врача (с немед. образованием)</t>
  </si>
  <si>
    <t>Главная медсестра</t>
  </si>
  <si>
    <t>Средний медперсонал и специалисты (со средним образованием), предоставляющиее мед. услуги (обеспечивающие предоставление мед. услуг)</t>
  </si>
  <si>
    <t>Младший медперсонал</t>
  </si>
  <si>
    <t>Педагогические работники домов ребенка</t>
  </si>
  <si>
    <t>Социальные работники</t>
  </si>
  <si>
    <t>Прочий персонал (служащие и рабочие)</t>
  </si>
  <si>
    <t>Среднеме-сячная з/плата на 1 штатную должность, руб.</t>
  </si>
  <si>
    <t xml:space="preserve"> *  на оплату лиц, замещающих уходящих в отпуск  работников, за работу в ночное время, за работу в выходные и праздничные дни и т.д.</t>
  </si>
  <si>
    <t xml:space="preserve"> ** в соответствии с Указами Президента РФ №597; №1688, на выплату стимулирующего характера за напряженные условия труда и качество работы</t>
  </si>
  <si>
    <t>Увеличение ФОТ, тыс. руб.  **)</t>
  </si>
  <si>
    <t xml:space="preserve">Дополнительные выплаты, тыс. руб. *) </t>
  </si>
  <si>
    <t>Фонд оплаты труда в год (без начислений), тыс. руб.</t>
  </si>
  <si>
    <t>10 = гр.4 х12+ гр.8+гр.9</t>
  </si>
  <si>
    <t xml:space="preserve">                в том числе: </t>
  </si>
  <si>
    <t>Таблица 1.1</t>
  </si>
  <si>
    <t>Расчеты (обоснования) расходов на оплату труда (для медицинских организаций)</t>
  </si>
  <si>
    <t>Остаток средств на начало планируемого финансового года:</t>
  </si>
  <si>
    <t>Остаток средств на конец планируемого финансового года:</t>
  </si>
  <si>
    <t>Доходы от собственности</t>
  </si>
  <si>
    <t>В том числе на: выплаты персоналу всего:</t>
  </si>
  <si>
    <t>Из них: оплата труда и начисления на выплаты по оплате труда, в т.ч.:</t>
  </si>
  <si>
    <t>Фонд оплаты труда</t>
  </si>
  <si>
    <t>Иные  выплаты персоналу учреждений, за исключением фонда оплаты труда</t>
  </si>
  <si>
    <t>Иные выплаты, за исключением фонда оплаты учреждений, лицам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</si>
  <si>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</si>
  <si>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населению, всего, в т.ч.:</t>
  </si>
  <si>
    <t>Социальные выплаты гражданам, кроме публичных нормативных социальных выплат</t>
  </si>
  <si>
    <t>Из них: пособия, компенсации и иные выплаты гражданам, кроме публичных нормативных обязательств</t>
  </si>
  <si>
    <t xml:space="preserve">Стипендии </t>
  </si>
  <si>
    <t>Премии и гранты</t>
  </si>
  <si>
    <t>Иные выплаты населению</t>
  </si>
  <si>
    <t>Иные бюджетные ассигнования, в т.ч.:</t>
  </si>
  <si>
    <t>Уплату налогов, сборов и иных платежей, всего в т.ч.:</t>
  </si>
  <si>
    <t>Налог на имущество и земельный налог</t>
  </si>
  <si>
    <t>Уплата прочих налогов и сборов</t>
  </si>
  <si>
    <t>Уплата иных платежей</t>
  </si>
  <si>
    <t>Безвозмездные перечисления организациям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</si>
  <si>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</si>
  <si>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</si>
  <si>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Расходы на закупку товаров, работ, услуг, всего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</si>
  <si>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</si>
  <si>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</si>
  <si>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</si>
  <si>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</si>
  <si>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</si>
  <si>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</si>
  <si>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</si>
  <si>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</si>
  <si>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</si>
  <si>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</si>
  <si>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</si>
  <si>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 них: увеличение остатков средств</t>
  </si>
  <si>
    <t>Прочие поступления</t>
  </si>
  <si>
    <t>Из них: уменьшение остатков средств</t>
  </si>
  <si>
    <t>Прочие выбытия</t>
  </si>
  <si>
    <t>Врачи и специалисты (с высшим образованием), предоставляющиее мед. услуги (обеспечивающие предоставление мед. услуг</t>
  </si>
  <si>
    <t>(наименование учреждения)</t>
  </si>
  <si>
    <t xml:space="preserve">                                                                (наименование учреждения)</t>
  </si>
  <si>
    <t>наименование учреждения</t>
  </si>
  <si>
    <r>
      <t xml:space="preserve">Страховые взносы </t>
    </r>
    <r>
      <rPr>
        <sz val="14"/>
        <color indexed="8"/>
        <rFont val="Times New Roman"/>
        <family val="1"/>
      </rPr>
      <t>на обязательное  пенсионное страхование</t>
    </r>
    <r>
      <rPr>
        <sz val="14"/>
        <color indexed="8"/>
        <rFont val="Times New Roman"/>
        <family val="1"/>
      </rPr>
      <t>, всего</t>
    </r>
  </si>
  <si>
    <r>
      <t>Страховые взносы</t>
    </r>
    <r>
      <rPr>
        <sz val="14"/>
        <color indexed="8"/>
        <rFont val="Times New Roman"/>
        <family val="1"/>
      </rPr>
      <t xml:space="preserve"> на обязательное социальное страхование на случай временной нетрудоспособности и в связи с материнством 2,9%,</t>
    </r>
    <r>
      <rPr>
        <sz val="14"/>
        <color indexed="8"/>
        <rFont val="Times New Roman"/>
        <family val="1"/>
      </rPr>
      <t xml:space="preserve"> всего</t>
    </r>
  </si>
  <si>
    <t>Всего на финансовое обеспечение выполнения государственного задания</t>
  </si>
  <si>
    <t>Генетика</t>
  </si>
  <si>
    <t>Объем публичных обязательств на очередной финансовый год</t>
  </si>
  <si>
    <t>Объем публичных обязательств на первый  год планового периода</t>
  </si>
  <si>
    <t>Объем публичных обязательств на второй  год планового периода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</si>
  <si>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очередной финансовый год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</si>
  <si>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на первый  год планового периода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</si>
  <si>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на второй  год планового периода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</si>
  <si>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на очередной финансовый год</t>
  </si>
  <si>
    <t>* Примечание: при оформлении  таблицы необходимо применить "Фильтр" по графе 4  "Не пустые строки", графы при отсутствии заполненных показателей - скрыть</t>
  </si>
  <si>
    <t>Прочие расходы, связанные с содержанием имущества</t>
  </si>
  <si>
    <t>в том числе по видам:</t>
  </si>
  <si>
    <t>Прочее</t>
  </si>
  <si>
    <t xml:space="preserve">                                                                                                                  Таблица № 2.1.2</t>
  </si>
  <si>
    <t>Всего на субсидии, предоставляемые в соответствии с абзацем вторым пункта 1 статьи 78.1 Бюджетного кодекса Российской Федерации</t>
  </si>
  <si>
    <t>Прочие налоги:</t>
  </si>
  <si>
    <t>х</t>
  </si>
  <si>
    <t>Ставка налога,  руб.</t>
  </si>
  <si>
    <t>в том числе :</t>
  </si>
  <si>
    <t>НДС: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</si>
  <si>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</si>
  <si>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</si>
  <si>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Услуги электронной почты (электронный адрес)</t>
  </si>
  <si>
    <t>Услуги интернет-провайдеров</t>
  </si>
  <si>
    <t>Дополнительное профессиональное образование работников государственных учреждений</t>
  </si>
  <si>
    <t>Осуществление государственными учреждениями капитального ремонта</t>
  </si>
  <si>
    <t>Мероприятия по совершенствованию противопожарной защиты</t>
  </si>
  <si>
    <t xml:space="preserve">Комплекс антитеррористических мероприятий </t>
  </si>
  <si>
    <t>Компенсация расходов по оплате жилых помещений, отопления и освещения педагогическим работникам образовательных учреждений Краснодарского края, проживающим и работающим в сельской местности, рабочих поселках (поселках городского типа) Краснодарского края</t>
  </si>
  <si>
    <t>Субсидии на выплату стипендий студентам</t>
  </si>
  <si>
    <t>Обеспечение доступности для маломобильных групп населения зданий государственных бюджетных учреждений здравоохранения Краснодарского края</t>
  </si>
  <si>
    <t>Обеспечение доступности для маломобильных групп населения зданий государственных бюджетных учреждений здравоохранения Краснодарского края за счет средств федерального бюджета</t>
  </si>
  <si>
    <t>Реализация мероприятий по профилактике ВИЧ-инфекции и гепатитов B и C</t>
  </si>
  <si>
    <t>Компенсация расходов, связанных с оказанием медицинскими организациями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</t>
  </si>
  <si>
    <t>Cубсидия  на реализацию мероприятий
по обследованию населения с целью выявления туберкулеза, лечение больных туберкулезом, а так же профилактических мероприятий</t>
  </si>
  <si>
    <t>Субсидия  на реализацию мероприятий
по обследованию населения с целью выявления туберкулеза, лечение больных туберкулезом, а так же профилактических мероприятий         (за счет средств федерального бюджета)</t>
  </si>
  <si>
    <t>______________________________________</t>
  </si>
  <si>
    <t xml:space="preserve">                    (подпись)</t>
  </si>
  <si>
    <t>___________________________</t>
  </si>
  <si>
    <t xml:space="preserve">                     (подпись)</t>
  </si>
  <si>
    <t xml:space="preserve">               (расшифровка подписи)</t>
  </si>
  <si>
    <t>__________________</t>
  </si>
  <si>
    <t>"___"________________20__г.</t>
  </si>
  <si>
    <t>"___"________________20__ г.</t>
  </si>
  <si>
    <t xml:space="preserve">       (подпись)</t>
  </si>
  <si>
    <t>"___"__________________20__г.</t>
  </si>
  <si>
    <t>____________________</t>
  </si>
  <si>
    <t xml:space="preserve">           (расшифровка подписи)</t>
  </si>
  <si>
    <t>Должностное лицо,ответственное за формирование плана закупок</t>
  </si>
  <si>
    <t>"___"____________________20__г.</t>
  </si>
  <si>
    <t>_______________</t>
  </si>
  <si>
    <t xml:space="preserve">      (подпись)</t>
  </si>
  <si>
    <t>______________</t>
  </si>
  <si>
    <t xml:space="preserve">          (расшифровка подписи)</t>
  </si>
  <si>
    <t>____________</t>
  </si>
  <si>
    <t>"___"______________20__г.</t>
  </si>
  <si>
    <t>"___"___________________20__г.</t>
  </si>
  <si>
    <t>Количество автотранспортных средств</t>
  </si>
  <si>
    <t>"___"_______________20__г.</t>
  </si>
  <si>
    <t>Главный бухгалтер                                                                                                _____________</t>
  </si>
  <si>
    <t>КОДЫ</t>
  </si>
  <si>
    <t>Форма по ОКУД</t>
  </si>
  <si>
    <t>Даты изменений</t>
  </si>
  <si>
    <t>от "__" ____________20__г.</t>
  </si>
  <si>
    <t>Дата</t>
  </si>
  <si>
    <t>по Реестру</t>
  </si>
  <si>
    <t>от "___"_____________20__г.</t>
  </si>
  <si>
    <t>ФИНАНСОВО_ХОЗЯЙСТВЕННОЙ ДЕЯТЕЛЬНОСТИ</t>
  </si>
  <si>
    <t>ФИНАНСОВО-ХОЗЯЙСТВЕННОЙ ДЕЯТЕЛЬНОСТИ</t>
  </si>
  <si>
    <t>по ОКПО</t>
  </si>
  <si>
    <t>по ОКТМО</t>
  </si>
  <si>
    <t xml:space="preserve">                                                  </t>
  </si>
  <si>
    <t xml:space="preserve">   (подпись)</t>
  </si>
  <si>
    <t>(подпись)                                         (ФИО)</t>
  </si>
  <si>
    <t>* Примечание: при оформлении  таблицы необходимо применить "Фильтр" "Не пустые строки", графы и строки при отсутствии заполненных показателей - скрыть</t>
  </si>
  <si>
    <t>Расчеты (обоснования) выплат персоналу: по уходу за ребенком, на прочие выплаты.</t>
  </si>
  <si>
    <r>
      <t>Автомобили легковые:</t>
    </r>
    <r>
      <rPr>
        <sz val="12"/>
        <color indexed="8"/>
        <rFont val="Times New Roman"/>
        <family val="1"/>
      </rPr>
      <t xml:space="preserve"> (с указанием мощности двигателя в  л.с.)</t>
    </r>
  </si>
  <si>
    <r>
      <t xml:space="preserve">Автобусы: </t>
    </r>
    <r>
      <rPr>
        <sz val="12"/>
        <color indexed="8"/>
        <rFont val="Times New Roman"/>
        <family val="1"/>
      </rPr>
      <t>(с указанием мощности двигателя в  л.с.)</t>
    </r>
  </si>
  <si>
    <r>
      <t xml:space="preserve">Грузовые автомобили: </t>
    </r>
    <r>
      <rPr>
        <sz val="12"/>
        <color indexed="8"/>
        <rFont val="Times New Roman"/>
        <family val="1"/>
      </rPr>
      <t>(с указанием мощности двигателя в  л.с.)</t>
    </r>
  </si>
  <si>
    <r>
      <t>Прочие: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(с указанием мощности двигателя в  л.с.) </t>
    </r>
  </si>
  <si>
    <t>Компенсационные выплаты на возмещение расходов по оплате жилья, отопления и освещения врачам, провизорам, среднему медицинскому и фармацевтическому персоналу (и членам их семей), работающим и проживающим в сельских населенных пунктах, поселках городского типа, городах, входящих в состав муниципальных районов Краснодарского края</t>
  </si>
  <si>
    <t>автомобиль легковой Рено, 84 л.с.</t>
  </si>
  <si>
    <t xml:space="preserve">    ___________________    </t>
  </si>
  <si>
    <t xml:space="preserve">               при оказании первичной доврачебной медико-санитарной помощи в амбулаторных условиях по: рентгенологии, сестринскому делу, стоматологии, стоматологии ортопедической; </t>
  </si>
  <si>
    <t>проведение медицинских осмотров, медицинских освидетельствований и медицинских экспертиз организуются и выполняются следующие работы (услуги): 
             -при проведении медицинских экспертиз по: экспертизе качества медицинской помощи, экспертизе временной нетрудоспособности.</t>
  </si>
  <si>
    <t xml:space="preserve"> оказание первичной, в том числе доврачебной, врачебной и специализированной, медико-санитарной помощи, организуются и выполняются следующие работы (услуги):</t>
  </si>
  <si>
    <t>штук</t>
  </si>
  <si>
    <t>(для основного мед. персонала)</t>
  </si>
  <si>
    <t>условные единицы</t>
  </si>
  <si>
    <t>5 = гр.3 х гр.4/100</t>
  </si>
  <si>
    <t>Экология</t>
  </si>
  <si>
    <t>единиц</t>
  </si>
  <si>
    <t>1.</t>
  </si>
  <si>
    <t xml:space="preserve">                                                                    (Должность лица, утверждающего документ)</t>
  </si>
  <si>
    <t>техническое обслуживание пожарной сигнализации</t>
  </si>
  <si>
    <t>техническое обслуживание охранной сигнализации</t>
  </si>
  <si>
    <t>вневедомственная охрана</t>
  </si>
  <si>
    <t>обновление ПО "САМСОН"</t>
  </si>
  <si>
    <t>сопровождение сайта, интернет запись на прием к врачу</t>
  </si>
  <si>
    <t>(медикаменты, расходные материалы+дезинфицир. средства)</t>
  </si>
  <si>
    <t>(включая печатную продукцию,)</t>
  </si>
  <si>
    <t>ОСАГО</t>
  </si>
  <si>
    <t>Прием и зачисление наличности, инкассация</t>
  </si>
  <si>
    <t>литр</t>
  </si>
  <si>
    <t>стоимость имущества, приобретенного учреждением за счет выделенных собственником имущества учреждения средств -0,00  рублей</t>
  </si>
  <si>
    <t>стоимость имущества, приобретенного учреждением за счет доходов, полученных от предпринимательской и иной приносящей доход деятельности -0,00  рублей</t>
  </si>
  <si>
    <t>Техническое обслуживание охранной сигнализации</t>
  </si>
  <si>
    <t>Дозиметрический контроль</t>
  </si>
  <si>
    <t>Обслуживание ККМ</t>
  </si>
  <si>
    <t>Техническое обслуживание и ремонт медицинского оборудования</t>
  </si>
  <si>
    <t>Техническое обслуживание и ремонт автомобиля</t>
  </si>
  <si>
    <t>Техническое обслуживание и ремонт узлов учета</t>
  </si>
  <si>
    <t>Техническое обслуживание и ремонт оборудования(заправка катриджей, ремонт принтеров и др.)</t>
  </si>
  <si>
    <t>Приобретение медицинского инструментария</t>
  </si>
  <si>
    <t>Приобретение мягкого инвентаря</t>
  </si>
  <si>
    <t xml:space="preserve">Приобретение хозяйственных товаров </t>
  </si>
  <si>
    <t>Приобретение моющих средств</t>
  </si>
  <si>
    <t>Приобретение канцелярских принадлежностей (включая печатную продукцию)</t>
  </si>
  <si>
    <t>2.</t>
  </si>
  <si>
    <t>В соответствии с Положением об оплате труда медицинского персонала и специалистов, оказывающих платные медицинские услуги (Приложение №3 к Коллективному договору на  2014 - 2017г.г.)</t>
  </si>
  <si>
    <t xml:space="preserve"> Услуги по утилизации отходов; проведение сан.-эпид. экспертизы, обследования;  аттестация рабочего места другие  расходы  </t>
  </si>
  <si>
    <t>техническое обслуживание, ремонт ОС (в т.ч.  медицинского оборудования, оргтехники и др.), т/о и ремонт оборудования узлов учета</t>
  </si>
  <si>
    <t xml:space="preserve">ГБУЗ «Стоматологическая поликлиника г.Горячий Ключ»МЗКК </t>
  </si>
  <si>
    <t>Прочие расходы</t>
  </si>
  <si>
    <t>Бирюкова М.Н.</t>
  </si>
  <si>
    <t>Маслакова С.В.</t>
  </si>
  <si>
    <t>Пащенко И.Г.</t>
  </si>
  <si>
    <t>шт</t>
  </si>
  <si>
    <t>Налог на имущество : 215500*2,2=4741;                                                 Экология:-1307</t>
  </si>
  <si>
    <t>Налог нанедвиж. имущество:1279936,8*2,2=28158,61; на движ. имущ.:614167,32*2,2=13511,68 и земельный налог:43405,2*0,7=303,84;                                                 Экология:-5602</t>
  </si>
  <si>
    <t>Налог нанедвиж. имущество:673947,72*2,2=14826,85;                                                  Экология:-12186,61</t>
  </si>
  <si>
    <t>Врачи и специалисты -1ст.280290руб.  ;Средний медперсонал и специалисты -2,5ст.- 532431 руб.; Младший медперсонал- 78924руб.;  Прочий персонал-0,25 -25669руб.</t>
  </si>
  <si>
    <t>Главный врач-1ст.-441433руб.;Заместитель главного врача (мед. персонал)-0,5ст.-198640руб;Заместитель главного врача (с немед. образованием)-1ст.-397290руб.;Врачи и специалисты (с высшим образованием)-9ст.-1500370руб;Главная медсестра-1ст.-410020руб.;Средний медперсонал и специалисты (со средним образованием)-16,5ст.-223660руб.;Младший медперсонал-12,5 ст.-1158280руб.;Главный бухгалтер-1ст.-397290руб.;Прочий персонал (служащие и рабочие)-3ст.-233790руб.</t>
  </si>
  <si>
    <t>Главный врач- 0ст.-50000руб.;Заместитель главного врача (мед. персонал)- 0ст.-30000руб.;Заместитель главного врача (с немед. образованием)-0ст.-30000руб.;Врачи и специалисты (с высшим образованием)-2ст.-392080руб.;Главная медсестра-0ст.-30000руб.;Средний медперсонал и специалисты (со средним образованием)-4,75ст.-615600руб.;Младший медперсонал-2ст.-180260руб.;Прочий персонал (служащие и рабочие)-9,75ст.-1006200руб.</t>
  </si>
  <si>
    <t>Электроснабжение (КВт/час)-236541,53руб.;   Теплоснабжение (Гкал)-140619,47руб.;   Холодное водоснабжение и водоотведение(м.куб)-45301,54руб.</t>
  </si>
  <si>
    <t>Электроснабжение (КВт/час)-129897,38руб.;   Теплоснабжение (Гкал)-77221,54руб.;   Холодное водоснабжение и водоотведение(м.куб)-30231,64руб.</t>
  </si>
  <si>
    <t>Пособие по уходу за ребенком-4 чел.-2400руб.</t>
  </si>
  <si>
    <t>Пособие по уходу за ребенком-1чел.-600 руб.</t>
  </si>
  <si>
    <t>Страховые взносы на обязательное социальное страхование на случай временной нетрудоспособности и в связи с материнством 2,9%,Страховые взносы  обязательное социальное страхование от несчастных случаев на производстве и профессиональных заболеваний по ставке 0,2%,Страховые взносы на обязательное медицинское страхование, всего (по ставке 5,1%)</t>
  </si>
  <si>
    <t>Абонентская плата за номер-2702,42 руб.;  Услуги электронной почты (электронный адрес)- 16868,58руб.</t>
  </si>
  <si>
    <t>Абонентская плата за номер-16367,54 руб.;  Услуги электронной почты (электронный адрес)- 118080,06руб.</t>
  </si>
  <si>
    <t>Абонентская плата за номер-5405,04 руб.;  Услуги электронной почты (электронный адрес)- 101211,48руб.</t>
  </si>
  <si>
    <t>заправка и восстановление катриджей, ремонт принтеров и др.-46000руб.</t>
  </si>
  <si>
    <t>твердых бытовых и промышленных отходов-8456руб.;Противопожарные мероприятия, связанные с содержанием имущества-35520руб.;санитарно-гигиеническое обслуживание-20894руб.;техническое обслуживание, ремонт ОС (в т.ч.  медицинского оборудования, оргтехники и др.), т/о и ремонт оборудования узлов учета-94760руб.</t>
  </si>
  <si>
    <t>Булат-литье-42000руб.; Услуги по утилизации отходов; проведение сан.-эпид. экспертизы, обследования;  аттестация рабочего места другие  расходы  -25994руб.;аттестация рабочего места другие  расходы  -15000руб.</t>
  </si>
  <si>
    <t>услуги по сопровождению ПП, сертификатов, лицензий (ПАРУС, интернетресурсов)-14759,79руб.; сопровождение сайта, интернет запись на прием к врачу-36522,07</t>
  </si>
  <si>
    <t>услуги по сопровождению ПП, сертификатов, лицензий (1С, Контур-Экстерн, Парус, интернет ресурсов)-350350,21руб.;обновление ПО "САМСОН"-120000руб.;Булат-напыление коронок, литье-85000руб.; услуги по утилизации отходов; проведение сан.-эпид. экспертизы, обследования; и другие  расходы  -32800руб.</t>
  </si>
  <si>
    <t>Персональный компьютер-30000руб.</t>
  </si>
  <si>
    <t>Лекарственные, перевязка и расх. материалы-582921,46руб.</t>
  </si>
  <si>
    <t>Лекарственные, перевязка и расх. материалы-640527,41руб.;Медицинский инструментарий-10000руб.;Мягкий инвентарь-15000руб.;Канцелярские принадлежности-65000руб.;Хозяйственные товары-20000руб.;Моющие средства-22000руб.</t>
  </si>
  <si>
    <t>увеличение  доходов на 246258 рублей на основании государственного задания  по Территориальной программе ОМС на 2017г., утвержденного Протоколом ТФОМС КК №20 от 30.12.2016г.; плановое поступление доходов от оказания медицинских услуг инокраевым гражданам 70242,00 рублей</t>
  </si>
  <si>
    <t xml:space="preserve"> соглашение о предоставлении субсидии на финансовое обеспечение выполнения государственного задания на оказание государственных услуг (выполнение работ) № 47 от 09.01.2017 г.
</t>
  </si>
  <si>
    <t>Электроснабжение (КВт/час)-36010руб.; Теплоснабжение (Гкал)-19520руб.; Холодное водоснабжение и водоотведение(м.куб)-3870руб.</t>
  </si>
  <si>
    <t xml:space="preserve"> твердых бытовых и промышленных отходов-7624руб.;устранение неисправностей (восстановление работоспособности) объектов имущества-45261руб.</t>
  </si>
  <si>
    <t>расходы на приобретение:1)  мягкого инвентаря: спец. одеджа 6чел*2комп*2000,00=24000,00 руб. ;        2) канцелярских принадлежностей - бумага(1уп.) 907,5*5=4537,50 руб.;                 3) моющих, чист. средств -3263,5 руб.; 4)Лекарственные и расх. материалы-485661руб.</t>
  </si>
  <si>
    <t>Страховые взносы : по ставке 22,0%-201809,11; по ставке 2,9%- 26602,11; по ставке 0,2%-1831,77; по ставке 5,1%-46783,01</t>
  </si>
  <si>
    <t>Страховые взносы : по ставке 22,0%-1534217,92;  по ставке 2,9%- 202237,82;  по ставке 0,2%-13947,44;  по ставке 5,1%-355659,61</t>
  </si>
  <si>
    <t>отчет о состоянии лицевого счета №828.52.514.0 на 31.12.2016г.</t>
  </si>
  <si>
    <t>отчет о состоянии лицевого счета №828.54.514.0 на 31.12.2016г.</t>
  </si>
  <si>
    <t>На основании постановления Администрации муниципального образования город Горячий Ключ от 11.08.2016г. №1836 , положение о порядке организации и предоставления платных медицинских услуг, оказываемые населению за счет личных средств и по договорам с хозяйствующими субъектами любой формы собственности.</t>
  </si>
  <si>
    <t>прочие расходы</t>
  </si>
  <si>
    <t>ут.мед.отходов</t>
  </si>
  <si>
    <t>Средний медперсонал и специалисты (со средним образованием)-2,5ст.-11749руб.</t>
  </si>
  <si>
    <t>Страховые взносы : 3551руб.</t>
  </si>
  <si>
    <t xml:space="preserve"> Заместитель министра здравоохранения Краснодарского края</t>
  </si>
  <si>
    <r>
      <t xml:space="preserve">________________       </t>
    </r>
    <r>
      <rPr>
        <u val="single"/>
        <sz val="14"/>
        <color indexed="8"/>
        <rFont val="Times New Roman"/>
        <family val="1"/>
      </rPr>
      <t>Т.А. Солоненко</t>
    </r>
  </si>
  <si>
    <t>тел.   8(86146) 2-41-31</t>
  </si>
  <si>
    <t>за стирку белья</t>
  </si>
  <si>
    <t>за тех облуж газ хозяйства</t>
  </si>
  <si>
    <t>за тех обслуж, санит сожерж, рем, общ нужды</t>
  </si>
  <si>
    <t>за заправку и ремонт катриджей</t>
  </si>
  <si>
    <t>за ремонт ИБЛ</t>
  </si>
  <si>
    <t>замена вентилятора</t>
  </si>
  <si>
    <t>за оказ информ усл по экстренному оповещению</t>
  </si>
  <si>
    <t>за изготовление плана эвакуации</t>
  </si>
  <si>
    <t>за работы обеспеч информ безопастности</t>
  </si>
  <si>
    <t>за экспорт инф из програмн продукта Парус</t>
  </si>
  <si>
    <t>за базов универс лицензию для подкл к сер.ч. "Сист упр Красн кр</t>
  </si>
  <si>
    <t>по начислениям на выплаты по оплате труда</t>
  </si>
  <si>
    <t>по приобретению основных средств</t>
  </si>
  <si>
    <t>по приобретению материальных запасов</t>
  </si>
  <si>
    <t>пр прочим расчетам с кредиторами</t>
  </si>
  <si>
    <t>Противопожарные мероприятия</t>
  </si>
  <si>
    <t xml:space="preserve"> 225,01 взять у анжелы</t>
  </si>
  <si>
    <t>за разраб, внедрение, сопровождение информ систем(Миац)</t>
  </si>
  <si>
    <t>За усл по тариф плану "Электр подпись, сопровожд сертиф</t>
  </si>
  <si>
    <t>за проведение сан эпид исслед</t>
  </si>
  <si>
    <t>Консультация по работе ПО "Контур"</t>
  </si>
  <si>
    <t>уборка снега, мусора, вывоз ТБО</t>
  </si>
  <si>
    <t>за содерж, рем имущ</t>
  </si>
  <si>
    <t>за тех обслуж газ хозяйства</t>
  </si>
  <si>
    <t>принтеры</t>
  </si>
  <si>
    <t>Прочие расходы связанные с содержанием имущества</t>
  </si>
  <si>
    <t>Оплата услуг вневедомственной охраны, пожарной охраны</t>
  </si>
  <si>
    <t>вывоз ТБО</t>
  </si>
  <si>
    <t>Стирка белья</t>
  </si>
  <si>
    <t>за тех обслуживание газового хозяйства</t>
  </si>
  <si>
    <t>за технич обслуж, санит содерж, рем., общ нужды</t>
  </si>
  <si>
    <t>за ремонт сантех оборуд</t>
  </si>
  <si>
    <t>за техобсл автомоб средства</t>
  </si>
  <si>
    <t>за ремонт и тех обслуж атомоб средства</t>
  </si>
  <si>
    <t>за ремонт сплит системы</t>
  </si>
  <si>
    <t>за оказание усл по экстренному оповещению</t>
  </si>
  <si>
    <t>услуги по проведедию курса повыш квалиф</t>
  </si>
  <si>
    <t>технич обслуж, ремонт ОС</t>
  </si>
  <si>
    <t>за испытание пожарных гидрантов</t>
  </si>
  <si>
    <t>Компенсационная выплата работникам, занятым на работах с вредными условиями труда  (замена выдачи молока компенсационной выплатой)</t>
  </si>
  <si>
    <t>Легвовой автомобиль</t>
  </si>
  <si>
    <t>за баз лицензию подк к серверу "Сисит упр Краснод кр</t>
  </si>
  <si>
    <t>5 1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</si>
  <si>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</si>
  <si>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за ремонт сантех. оборуд</t>
  </si>
  <si>
    <t>за ремонт и техосл автомоб средства</t>
  </si>
  <si>
    <t>Штрафы (проверка ОМС)</t>
  </si>
  <si>
    <t>Штрафы</t>
  </si>
  <si>
    <t>расходы на приобретение материальный запасов</t>
  </si>
  <si>
    <t>услуги по содержанию имущества</t>
  </si>
  <si>
    <t>Взносы по обязательному медицинскому страхованию на выплаты по оплате труда работников и иные выплаты работникам учреждения</t>
  </si>
  <si>
    <t>Оплата прочих услуг и работ</t>
  </si>
  <si>
    <t>Уплата налогов и сборов</t>
  </si>
  <si>
    <t>услуги связи</t>
  </si>
  <si>
    <t>Работы по содержанию имущества</t>
  </si>
  <si>
    <t>В связи с увеличением потребления лимитов ( возмещение расходов коммунальных услуг по договору аренды)</t>
  </si>
  <si>
    <t>доставка товара (муфельной печи)</t>
  </si>
  <si>
    <t>Перераспределение расходов с соответствии с источниками финансирования ( оплата услуг по сан эпид исследованию)</t>
  </si>
  <si>
    <t>В связи с оптимизацией штатного расписания по прочему персоналу (перевод уборщика произв. помещений в ортопедисеское отделение)</t>
  </si>
  <si>
    <t>Увеличение расходов на возмещение конпенсационных выплат за вредные условия труда за счет увеличения численности работников</t>
  </si>
  <si>
    <t>Перераспределение расходов с соответствии с источниками финансирования</t>
  </si>
  <si>
    <t>В связи с пререраспределением расходов в соответствии с источниками финансирования (уменьшение расходов на програмное обеспечение)</t>
  </si>
  <si>
    <t>оплата доставки медикаментов</t>
  </si>
  <si>
    <t>оплата госпошлины</t>
  </si>
  <si>
    <t>Увеличение расходов на ремонт стоматологический установок в связи с поломкой</t>
  </si>
  <si>
    <t>Оптимизация расходов в связи с уменьшением расходов на VipNet (закратие лицевого счета по связи)</t>
  </si>
  <si>
    <t xml:space="preserve">Покупка сувенирной продукции к дню медицинского работника </t>
  </si>
  <si>
    <t>Увеличение расходов - повышение цены на взносы (обязательный платеж) техобослуживание , санитарное содержание и ремонт общего имущества</t>
  </si>
  <si>
    <t>государственное автономное учреждение здравоохранения  «Кущевская стоматологическая поликлиника» министерства здравоохрания Краснодарского края</t>
  </si>
  <si>
    <t xml:space="preserve"> 352030 Краснодарского  края ,  ст.Кущевская, ул.Ленина, д. 10</t>
  </si>
  <si>
    <t xml:space="preserve"> Главный врач государственного автономного учреждения здравоохранения  «Кущевская стоматологическая поликлиника» министерства здравоохрания Краснодарского края</t>
  </si>
  <si>
    <t>С.А.Картавый</t>
  </si>
  <si>
    <t>тел. 8(86168)5-37-62</t>
  </si>
  <si>
    <t>Ведущий экономист</t>
  </si>
  <si>
    <t>Л.А.Цыбенко</t>
  </si>
  <si>
    <t>Т.Н.Гребенюк</t>
  </si>
  <si>
    <t xml:space="preserve">   ГАУЗ «Кущевская стоматологическая поликлиника» МЗКК</t>
  </si>
  <si>
    <t>на             2019  г.</t>
  </si>
  <si>
    <t>тел.   8(86168) 5-37-62                                         (подпись)                                               (расшифровка подписи)</t>
  </si>
  <si>
    <r>
      <t>Главный бухгалтер                                       __________________                                    ___Т.Н.Гребенюк</t>
    </r>
    <r>
      <rPr>
        <sz val="14"/>
        <color indexed="8"/>
        <rFont val="Times New Roman"/>
        <family val="1"/>
      </rPr>
      <t>____</t>
    </r>
  </si>
  <si>
    <t xml:space="preserve"> ГАУЗ"Кущевская стоматологическая поликлиника" МЗКК </t>
  </si>
  <si>
    <r>
      <t xml:space="preserve">на      </t>
    </r>
    <r>
      <rPr>
        <b/>
        <u val="single"/>
        <sz val="14"/>
        <color indexed="63"/>
        <rFont val="Times New Roman"/>
        <family val="1"/>
      </rPr>
      <t>2019  г.</t>
    </r>
  </si>
  <si>
    <r>
      <t>________</t>
    </r>
    <r>
      <rPr>
        <u val="single"/>
        <sz val="14"/>
        <color indexed="8"/>
        <rFont val="Times New Roman"/>
        <family val="1"/>
      </rPr>
      <t>_Т.Н.Гребенюк</t>
    </r>
    <r>
      <rPr>
        <sz val="14"/>
        <color indexed="8"/>
        <rFont val="Times New Roman"/>
        <family val="1"/>
      </rPr>
      <t>________</t>
    </r>
  </si>
  <si>
    <t>Показатели выплат по расходам на закупку товаров, работ, услуг учреждения  на    2019  г.</t>
  </si>
  <si>
    <t>тел.  8(86168 5-37-62</t>
  </si>
  <si>
    <t>тел.  8(86168) 5-37-62</t>
  </si>
  <si>
    <t>Сведения о вносимых изменениях № ____ по состоянию на «__»______________2019 год *</t>
  </si>
  <si>
    <t xml:space="preserve">ГАУЗ «Кущевская стоматологическая поликлиника»МЗКК </t>
  </si>
  <si>
    <t>тел. (86168)5-37-62</t>
  </si>
  <si>
    <t>тел.     8(86168) 5-37-62</t>
  </si>
  <si>
    <t xml:space="preserve"> тел. (86168)5-37-62</t>
  </si>
  <si>
    <t xml:space="preserve"> ГАУЗ"Кущевскаястоматологическая поликлиника" МЗКК </t>
  </si>
  <si>
    <t>тел. (86168) 5-37-62</t>
  </si>
  <si>
    <t>ГАУЗ"Кущевская стоматологическая поликлиника" МЗКК</t>
  </si>
  <si>
    <t>Поступления от оказания услуг (выполнения работ) на платной основе и от иной приносящей доход деятельности на  1 января  2019г., 2020г. И 2021г.</t>
  </si>
  <si>
    <t>Поступления от оказания услуг (выполнения работ) на платной основе и от иной приносящей доход деятельности на    2019г. , 2020г. И 2021г.</t>
  </si>
  <si>
    <t>Поступления от оказания услуг (выполнения работ) на платной основе и от иной приносящей доход деятельности на  1 января  2019г., 2020г. и 2021г.</t>
  </si>
  <si>
    <t>Термопресс</t>
  </si>
  <si>
    <t>Бормашина "Маротон М-№7"</t>
  </si>
  <si>
    <t>Прес зуботехнический</t>
  </si>
  <si>
    <t>Аппарат Самсон для вытяжки гильз</t>
  </si>
  <si>
    <t>Мотор шлифовальный зуботехнический</t>
  </si>
  <si>
    <t>Стол зуботехнический</t>
  </si>
  <si>
    <t>Компьютеры</t>
  </si>
  <si>
    <t>ноутбук</t>
  </si>
  <si>
    <t>Портативная бормашина</t>
  </si>
  <si>
    <t>Обязательный взнос на капремонт здания</t>
  </si>
  <si>
    <t>заправка и ремонт картриджей</t>
  </si>
  <si>
    <t xml:space="preserve"> ремонт компьютеров и периферийных устройств и др.</t>
  </si>
  <si>
    <t>предрейсовый техосмотр а/машин</t>
  </si>
  <si>
    <t xml:space="preserve">Тех.обслуживание зданий </t>
  </si>
  <si>
    <t>в т.ч.:устранение неисправностей (восстановление работоспособности)объктов недвижимого имущества текущий ремонт</t>
  </si>
  <si>
    <t>ремонт и заправка катриджей</t>
  </si>
  <si>
    <t>Тех.обслуживание кассового аппарата</t>
  </si>
  <si>
    <t>в том числе:ремонт автомобилей</t>
  </si>
  <si>
    <t>предрейсовый осмотр а/машин</t>
  </si>
  <si>
    <t>Многослойное напыление коронок, литье</t>
  </si>
  <si>
    <t>Поступления от оказания услуг (выполнения работ) на платной основе и от иной приносящей доход деятельности на  1 января 2019г., 2020г. и 2021г.</t>
  </si>
  <si>
    <t>Субсидии на финансовое обеспечение выполнения государственного задания на  1 января 2019г., 20201. и 2020г.</t>
  </si>
  <si>
    <t>Микромотор зуботехнический "Маротон М-№7"</t>
  </si>
  <si>
    <t>за усл по спровожд и тех поддержку  ооо "СМАРТСИТИ" (Самсон)</t>
  </si>
  <si>
    <t>Обслуживание программы "Консультант-Плюс"</t>
  </si>
  <si>
    <t>автомобиль ЛАДА ЛАРГУС</t>
  </si>
  <si>
    <t>услуги по сопровождению ПО, АС Поликлиника ООО "Гендальф"</t>
  </si>
  <si>
    <t>за ЭП для ЗКСПД ТФОМС (Росинтеграция)</t>
  </si>
  <si>
    <t>Обслуживание "Системы управления здравоохр.КК "Южный ПАРУС"</t>
  </si>
  <si>
    <t xml:space="preserve">за мед осмотр водителя </t>
  </si>
  <si>
    <t>Обслуживание интернет-сайта мед.организации</t>
  </si>
  <si>
    <t>Приобретение средств защиты информации (антивирус)</t>
  </si>
  <si>
    <t>медосмотр работников</t>
  </si>
  <si>
    <t>утилизация отходов "Пиретта"</t>
  </si>
  <si>
    <t xml:space="preserve">Многослойное напыление и литье </t>
  </si>
  <si>
    <t>Лицензия Крипто-Про</t>
  </si>
  <si>
    <t>Исследование смывов на стерильность</t>
  </si>
  <si>
    <t>Медицинский осмотр работников</t>
  </si>
  <si>
    <t>Предоставление грязезащитных покрытий</t>
  </si>
  <si>
    <t>Объявления в газете</t>
  </si>
  <si>
    <t>Переплет документации</t>
  </si>
  <si>
    <t>Аттестация рабочих мест</t>
  </si>
  <si>
    <t>Подписка газет и журналов</t>
  </si>
  <si>
    <t>ТО мед.оборудования "Медтехника-сервис"</t>
  </si>
  <si>
    <t>Публикация годового  отчета  в средствах массовой информ.</t>
  </si>
  <si>
    <t>Утилизация отходов (10000*2мес)</t>
  </si>
  <si>
    <t xml:space="preserve">Содержание кабинетов </t>
  </si>
  <si>
    <t>Приобретение конвертов</t>
  </si>
  <si>
    <t>Содержание объектов недвижимого имущества в чистоте (ЦРБ)</t>
  </si>
  <si>
    <t>ГАУЗ «Кущевская стомалогическая поликлиника»МЗКК вправе сверх установленного государственного задания, а так же в случаях, определенных федеральными законами, в пределах установленного государственного задания выполнять работы, оказывать услуги, относящиеся к основным видам деятельности, предусмотренным уставом, согласно утвержденного перечня и тарифов оказываемых услуг, для граждан и юридических лиц за плату и на одинаковых условиях при оказании одних и тех же услуг.</t>
  </si>
  <si>
    <t>на 2019_г. очередной финансовый год</t>
  </si>
  <si>
    <t>на 2020г.     1-ый год планового периода</t>
  </si>
  <si>
    <t>на 2021г.     2-ой год планового периода</t>
  </si>
  <si>
    <r>
      <t>Сведения о средствах, поступающих во временное распоряжение учреждения  ГА</t>
    </r>
    <r>
      <rPr>
        <b/>
        <u val="single"/>
        <sz val="14"/>
        <color indexed="63"/>
        <rFont val="Times New Roman"/>
        <family val="1"/>
      </rPr>
      <t>УЗ «Кущевская стоматологическая поликлиника" МЗ КК</t>
    </r>
  </si>
  <si>
    <t>на     2019 г.</t>
  </si>
  <si>
    <t>Формирование отчетов , декларации  по экологии</t>
  </si>
  <si>
    <t>Обучение противопожарной безопасности и ТБ</t>
  </si>
  <si>
    <t xml:space="preserve">Обучение </t>
  </si>
  <si>
    <t xml:space="preserve">государственное автономное учреждение здравоохранения  «Кущевская стоматологическая поликлиника» министерства здравоохрания </t>
  </si>
  <si>
    <t>ИНН 2340014484</t>
  </si>
  <si>
    <t>КПП 234001001</t>
  </si>
  <si>
    <t>НА  20 19 ГОД И ПЛАНОВЫЙ ПЕРИОД 2020 И 2021 ГОДЫ</t>
  </si>
  <si>
    <t xml:space="preserve"> 352030 Краснодарского  края ,  ст.Кущевская ул.Лениа 10</t>
  </si>
  <si>
    <t>Цели деятельности государственного автономного учреждения здравоохранения «Кущевская стоматологическая поликлиника» министерства здравоохранения Краснодарского края (далее-Учреждение) в соответствии с нормативными правовыми актами и Уставом учреждения - оказание квалифицированной специализированной диагностической, лечебно-профилактической и консультативной помощи населению по всем видам стоматологической помощи в амбулаторных условиях, в том числе с применением высокоэффективных медицинских технологий</t>
  </si>
  <si>
    <r>
      <t>медицинская деятельность (лицензия №ЛО-23-01-012121 от 13.03.2018г</t>
    </r>
    <r>
      <rPr>
        <sz val="14"/>
        <color indexed="8"/>
        <rFont val="Times New Roman"/>
        <family val="1"/>
      </rPr>
      <t xml:space="preserve">., бессрочная, выданная министерством здравоохранения Краснодарского края на осуществление медицинской деятельности) в том числе: </t>
    </r>
  </si>
  <si>
    <t xml:space="preserve">               при оказании первичной специализированной медико-санитарной помощи в амбулаторных условиях по: стоматологии детской, стоматологии ортопедической, стоматологии терапевтической, стоматологии хирургической;стоматологии общей практики;ортодонтии.</t>
  </si>
  <si>
    <r>
      <t xml:space="preserve">Субсидии на финансовое обеспечение выполнения государственного задания за счет  средств </t>
    </r>
    <r>
      <rPr>
        <b/>
        <sz val="14"/>
        <color indexed="8"/>
        <rFont val="Times New Roman"/>
        <family val="1"/>
      </rPr>
      <t>краевого</t>
    </r>
    <r>
      <rPr>
        <sz val="14"/>
        <color indexed="8"/>
        <rFont val="Times New Roman"/>
        <family val="1"/>
      </rPr>
      <t xml:space="preserve"> бюджета (дополнительное профессиональное образование) </t>
    </r>
  </si>
  <si>
    <t>Проведение прикладных научных исследований</t>
  </si>
  <si>
    <r>
      <t>Субсидии  на выполнение государственного задания за счет средств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(оказание высокотехнологичных видов медицинской помощи)</t>
    </r>
  </si>
  <si>
    <t>Графу 6 - Заполняют колледжи</t>
  </si>
  <si>
    <t>Субсидия на обеспечение медицинской деятельности, связанной с донорством органов человека в целях трансплантации (пересадки)</t>
  </si>
  <si>
    <t>Приобретение движимого имущества стоимостью свыше 100 000 рублей за единицу, предназначенного для оказания государственных услуг, финансовое обеспечение которых осуществляется за счет средств ТФОМС</t>
  </si>
  <si>
    <t>Приобретение медицинских изделий и лекарственных препаратов для оказания медицинской помощи  в период проведения Кубка конфедераций в 2017 году и чемпионата мира по футболу в 2018 году в Российской Федерации</t>
  </si>
  <si>
    <t>Обеспечение работы медицинского персонала в местах проведения спортивных мероприятий в период подготовки и проведения Кубка конфедераций в 2017 году и Чемпионатамира по футболу в 2018 году</t>
  </si>
  <si>
    <t>( расшифровка подписи)</t>
  </si>
  <si>
    <t>Содержание объектов недвижимого имущества</t>
  </si>
  <si>
    <t xml:space="preserve">Приобретение лекарственных препаратов(в т.ч. стоматологических расходных метериалов, дезинфицир, перевязочные средства) </t>
  </si>
  <si>
    <t xml:space="preserve">4. Общая балансовая стоимость недвижимого государственного имущества на последнюю отчетную дату, предшествующую дате составления Плана 3778920,98 рублей </t>
  </si>
  <si>
    <t>5. Общая балансовая стоимость движимого государственного  имущества на дату составления Плана   13025791,24 рублей</t>
  </si>
  <si>
    <t>балансовая стоимость особо ценного движимого имущества  3624080 рублей</t>
  </si>
  <si>
    <t>за  лицензию Крипто-Про</t>
  </si>
  <si>
    <t>Страхование</t>
  </si>
  <si>
    <t>Упоата налогов</t>
  </si>
  <si>
    <t>Уплата штрафных санкций</t>
  </si>
  <si>
    <t>в том числе по объектам:ст. Кущевская, пер.Им.Б.Е. Москвича, 114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</si>
  <si>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</si>
  <si>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Расчеты (обоснования)  на Социальные пособия и компенсации персоналу в денежной форме</t>
  </si>
  <si>
    <t>Расчет (обоснование) расходов на страхование</t>
  </si>
  <si>
    <t>плата за пользование платной автомобильной дорогой</t>
  </si>
  <si>
    <t>Оплата услуги платных дорог</t>
  </si>
  <si>
    <t>за усл по сопровожд и тех поддержку  ооо "СМАРТСИТИ" (Самсон)</t>
  </si>
  <si>
    <t>Расчеты (обоснования) на Социальные пособия и компенсации персоналу в денежнойй форме</t>
  </si>
  <si>
    <t>Пособия за первые три дня временной нетрудоспособности за счет средств работодателя, в случае заболевания работника или полученной иим травмы ( за исключением несчастных случаев на производстве и профессиональных заболеваний);</t>
  </si>
  <si>
    <t>НА  2019____ ГОД И ПЛАНОВЫЙ ПЕРИОД  2020__ И 2021__ ГОДЫ</t>
  </si>
  <si>
    <t>стоимость имущества, закрепленного собственником имущества за учреждением на праве оперативного управления   3778920,98 рублей</t>
  </si>
  <si>
    <t>автомобиль Kia ceed</t>
  </si>
  <si>
    <t>лицензия к системе здравоохранения</t>
  </si>
  <si>
    <t>Обучение</t>
  </si>
  <si>
    <t>Почие работы, услуги</t>
  </si>
  <si>
    <t>Средства обязательного медицинского страхования на  2019г. , 2020г.,2021г.</t>
  </si>
  <si>
    <t>Средства обязательного медицинского страхования  на  2019г. , 2020г.,2021г.</t>
  </si>
  <si>
    <t>Средства обязательного медицинского страхования на 2019г. , 2020г.,2021г.</t>
  </si>
  <si>
    <t>Поступления от оказания услуг (выполнения работ) на платной основе и от иной приносящей доход деятельности на  2019г., 2020г. и 2021г.</t>
  </si>
  <si>
    <t xml:space="preserve"> ГАУЗ "Кущевская стоматологическая поликлиника" МЗ КК </t>
  </si>
  <si>
    <t xml:space="preserve"> ГАУЗ «Кущевская стоматологическая поликлиника» МЗ КК</t>
  </si>
  <si>
    <t>Средства обязательного медицинского страхования на  2019г., 2020г. и 2021г.</t>
  </si>
  <si>
    <t>Средства обязательного медицинского страхования на 2019г., 2020г. и 2021г.</t>
  </si>
  <si>
    <t>Поступления от оказания услуг (выполнения работ) на платной основе и от иной приносящей доход деятельности на 2019г., 2020г. и 2021г.</t>
  </si>
  <si>
    <t>ГАУЗ "Кущевская стоматологическая поликлиника" МЗ КК</t>
  </si>
  <si>
    <t xml:space="preserve">  ГАУЗ "Кущевская стоматологическая поликлиника" МЗ КК </t>
  </si>
  <si>
    <t>Поступления от оказания услуг (выполнения работ) на платной основе и от иной приносящей доход деятельности на 2019г. , 2020г. и 2021г.</t>
  </si>
  <si>
    <t>автомобиль легковой 104,7 л.с. ЛАДА Ларгус</t>
  </si>
  <si>
    <t>автомобиль легковой 109 л.с. Kia ceed</t>
  </si>
  <si>
    <t>Поступления от оказания услуг (выполнения работ) на платной основе и от иной приносящей доход деятельности на 2019г. , 2020г.,2021г.</t>
  </si>
  <si>
    <t>расшифровка подписи)</t>
  </si>
  <si>
    <t>Субсидии на финансовое обеспечение выполнения государственного задания на 2019г., 2020г. и 2021г.</t>
  </si>
  <si>
    <t>Субсидии, предоставляемые в соответствии с абзацем вторым пункта 1 статьи 78.1 Бюджетного кодекса Российской Федерации на 2019г.</t>
  </si>
  <si>
    <t>Субсидии, предоставляемые в соответствии с абзацем вторым пункта 1 статьи 78.1 Бюджетного кодекса Российской Федерации на  2020г.</t>
  </si>
  <si>
    <t>Субсидии, предоставляемые в соответствии с абзацем вторым пункта 1 статьи 78.1 Бюджетного кодекса Российской Федерации на 2021г.</t>
  </si>
  <si>
    <t xml:space="preserve"> ГАУЗ  "Кущевская стоматологическая поликлиника" МЗ КК </t>
  </si>
  <si>
    <t xml:space="preserve"> ГАУЗ "Кущевскаястоматологическая поликлиника" МЗ КК </t>
  </si>
  <si>
    <t>все источники финансирования на 2019г., 2020г.и 2021г.</t>
  </si>
  <si>
    <t xml:space="preserve"> ГАУЗ «Кущевская стоматологическая поликлиника»МЗ КК</t>
  </si>
  <si>
    <r>
      <t xml:space="preserve">на </t>
    </r>
    <r>
      <rPr>
        <b/>
        <sz val="16"/>
        <color indexed="63"/>
        <rFont val="Times New Roman"/>
        <family val="1"/>
      </rPr>
      <t>2021 г.</t>
    </r>
  </si>
  <si>
    <r>
      <t xml:space="preserve">на </t>
    </r>
    <r>
      <rPr>
        <b/>
        <sz val="16"/>
        <color indexed="63"/>
        <rFont val="Times New Roman"/>
        <family val="1"/>
      </rPr>
      <t>2020 г.</t>
    </r>
  </si>
  <si>
    <t xml:space="preserve">                          ГАУЗ "Кущевская стоматологическая поликлиника" МЗ КК </t>
  </si>
  <si>
    <t xml:space="preserve">                         ГАУЗ"Кущевская стоматологическая поликлиника" МЗКК </t>
  </si>
  <si>
    <t xml:space="preserve">                        ГАУЗ"Кущевская стоматологическая поликлиника" МЗКК </t>
  </si>
  <si>
    <r>
      <t xml:space="preserve">на </t>
    </r>
    <r>
      <rPr>
        <b/>
        <sz val="16"/>
        <color indexed="63"/>
        <rFont val="Times New Roman"/>
        <family val="1"/>
      </rPr>
      <t>2019 г.</t>
    </r>
  </si>
  <si>
    <r>
      <t xml:space="preserve">на </t>
    </r>
    <r>
      <rPr>
        <b/>
        <sz val="14"/>
        <color indexed="63"/>
        <rFont val="Times New Roman"/>
        <family val="1"/>
      </rPr>
      <t>2019  г.</t>
    </r>
  </si>
  <si>
    <t xml:space="preserve">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</si>
  <si>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</si>
  <si>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</si>
  <si>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5  = гр.3 х гр.4</t>
  </si>
  <si>
    <t>Аренда автобуса</t>
  </si>
  <si>
    <t>Таблица 7</t>
  </si>
  <si>
    <r>
      <t xml:space="preserve">на      </t>
    </r>
    <r>
      <rPr>
        <b/>
        <u val="single"/>
        <sz val="14"/>
        <color indexed="63"/>
        <rFont val="Times New Roman"/>
        <family val="1"/>
      </rPr>
      <t>2021  г.</t>
    </r>
  </si>
  <si>
    <r>
      <t xml:space="preserve">на      </t>
    </r>
    <r>
      <rPr>
        <b/>
        <u val="single"/>
        <sz val="14"/>
        <color indexed="63"/>
        <rFont val="Times New Roman"/>
        <family val="1"/>
      </rPr>
      <t>2020  г.</t>
    </r>
  </si>
  <si>
    <t>Субсидии на финансовое обеспечение выполнения государственного задания за счет  средств краевого бюджета на 2019г., 2020г.,2021г.</t>
  </si>
  <si>
    <t>Субсидии на финансовое обеспечение выполнения государственного задания за счет  средств краевого бюджета на  1 января 2019г., 2020г.,2021г.</t>
  </si>
  <si>
    <t>А.А.Гарькавая</t>
  </si>
  <si>
    <r>
      <t>_______</t>
    </r>
    <r>
      <rPr>
        <u val="single"/>
        <sz val="14"/>
        <color indexed="8"/>
        <rFont val="Times New Roman"/>
        <family val="1"/>
      </rPr>
      <t>А.А.Гарькавая_</t>
    </r>
    <r>
      <rPr>
        <sz val="14"/>
        <color indexed="8"/>
        <rFont val="Times New Roman"/>
        <family val="1"/>
      </rPr>
      <t>_________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</si>
</sst>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E+00"/>
    <numFmt numFmtId="178" formatCode="0.000E+00"/>
    <numFmt numFmtId="179" formatCode="0.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000000000E+00"/>
    <numFmt numFmtId="190" formatCode="0.000000000000000E+00"/>
    <numFmt numFmtId="191" formatCode="0.0000000000000000E+00"/>
    <numFmt numFmtId="192" formatCode="0.00000000000000000E+00"/>
    <numFmt numFmtId="193" formatCode="0.000000000000000000E+00"/>
    <numFmt numFmtId="194" formatCode="0.0000000000000000000E+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"/>
    <numFmt numFmtId="206" formatCode="#,##0.00000000000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u val="single"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8"/>
      <name val="Comic Sans MS"/>
      <family val="4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1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u val="single"/>
      <sz val="14"/>
      <color indexed="63"/>
      <name val="Times New Roman"/>
      <family val="1"/>
    </font>
    <font>
      <sz val="14"/>
      <name val="Arial"/>
      <family val="2"/>
    </font>
    <font>
      <b/>
      <sz val="16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8"/>
      <color rgb="FF26282F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26282F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rgb="FF26282F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222222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rgb="FF26282F"/>
      <name val="Times New Roman"/>
      <family val="1"/>
    </font>
    <font>
      <b/>
      <sz val="16"/>
      <color rgb="FF26282F"/>
      <name val="Times New Roman"/>
      <family val="1"/>
    </font>
    <font>
      <sz val="16"/>
      <color rgb="FF000000"/>
      <name val="Times New Roman"/>
      <family val="1"/>
    </font>
    <font>
      <sz val="16"/>
      <color rgb="FF26282F"/>
      <name val="Times New Roman"/>
      <family val="1"/>
    </font>
    <font>
      <b/>
      <sz val="12"/>
      <color rgb="FF26282F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6" fillId="20" borderId="0">
      <alignment horizontal="left"/>
      <protection/>
    </xf>
    <xf numFmtId="0" fontId="17" fillId="20" borderId="0">
      <alignment horizontal="left" vertical="top"/>
      <protection/>
    </xf>
    <xf numFmtId="0" fontId="17" fillId="20" borderId="0">
      <alignment horizontal="left" vertical="center"/>
      <protection/>
    </xf>
    <xf numFmtId="0" fontId="18" fillId="20" borderId="0">
      <alignment horizontal="center" vertical="center"/>
      <protection/>
    </xf>
    <xf numFmtId="0" fontId="19" fillId="20" borderId="0">
      <alignment horizontal="center"/>
      <protection/>
    </xf>
    <xf numFmtId="0" fontId="17" fillId="20" borderId="0">
      <alignment horizontal="left" vertical="top"/>
      <protection/>
    </xf>
    <xf numFmtId="0" fontId="18" fillId="20" borderId="0">
      <alignment horizontal="center"/>
      <protection/>
    </xf>
    <xf numFmtId="0" fontId="20" fillId="20" borderId="0">
      <alignment horizontal="right"/>
      <protection/>
    </xf>
    <xf numFmtId="0" fontId="17" fillId="20" borderId="0">
      <alignment horizontal="left"/>
      <protection/>
    </xf>
    <xf numFmtId="0" fontId="18" fillId="20" borderId="0">
      <alignment horizontal="center" vertical="top"/>
      <protection/>
    </xf>
    <xf numFmtId="0" fontId="21" fillId="20" borderId="0">
      <alignment horizontal="center" vertical="center"/>
      <protection/>
    </xf>
    <xf numFmtId="0" fontId="22" fillId="20" borderId="0">
      <alignment horizontal="left" vertical="center"/>
      <protection/>
    </xf>
    <xf numFmtId="0" fontId="20" fillId="20" borderId="0">
      <alignment horizontal="right" vertical="top"/>
      <protection/>
    </xf>
    <xf numFmtId="0" fontId="22" fillId="20" borderId="0">
      <alignment horizontal="left"/>
      <protection/>
    </xf>
    <xf numFmtId="0" fontId="18" fillId="20" borderId="0">
      <alignment horizontal="center" vertical="center"/>
      <protection/>
    </xf>
    <xf numFmtId="0" fontId="17" fillId="20" borderId="0">
      <alignment horizontal="left" vertical="center"/>
      <protection/>
    </xf>
    <xf numFmtId="0" fontId="18" fillId="20" borderId="0">
      <alignment horizontal="center" vertical="top"/>
      <protection/>
    </xf>
    <xf numFmtId="0" fontId="23" fillId="20" borderId="0">
      <alignment horizontal="left" vertical="top"/>
      <protection/>
    </xf>
    <xf numFmtId="0" fontId="17" fillId="20" borderId="0">
      <alignment horizontal="left" vertical="top"/>
      <protection/>
    </xf>
    <xf numFmtId="0" fontId="20" fillId="20" borderId="0">
      <alignment horizontal="left" vertical="top"/>
      <protection/>
    </xf>
    <xf numFmtId="0" fontId="24" fillId="21" borderId="0">
      <alignment horizontal="left" vertical="top"/>
      <protection/>
    </xf>
    <xf numFmtId="0" fontId="20" fillId="20" borderId="0">
      <alignment horizontal="center" vertical="top"/>
      <protection/>
    </xf>
    <xf numFmtId="0" fontId="17" fillId="22" borderId="0">
      <alignment horizontal="left" vertical="top"/>
      <protection/>
    </xf>
    <xf numFmtId="0" fontId="23" fillId="20" borderId="0">
      <alignment horizontal="center"/>
      <protection/>
    </xf>
    <xf numFmtId="0" fontId="20" fillId="20" borderId="0">
      <alignment horizontal="center"/>
      <protection/>
    </xf>
    <xf numFmtId="0" fontId="25" fillId="20" borderId="0">
      <alignment horizontal="left" vertical="top"/>
      <protection/>
    </xf>
    <xf numFmtId="0" fontId="26" fillId="20" borderId="0">
      <alignment horizontal="center"/>
      <protection/>
    </xf>
    <xf numFmtId="0" fontId="27" fillId="20" borderId="0">
      <alignment horizontal="right" vertical="center"/>
      <protection/>
    </xf>
    <xf numFmtId="0" fontId="28" fillId="20" borderId="0">
      <alignment horizontal="center" vertical="center"/>
      <protection/>
    </xf>
    <xf numFmtId="0" fontId="27" fillId="20" borderId="0">
      <alignment horizontal="left" vertical="top"/>
      <protection/>
    </xf>
    <xf numFmtId="0" fontId="20" fillId="22" borderId="0">
      <alignment horizontal="center" vertical="center"/>
      <protection/>
    </xf>
    <xf numFmtId="0" fontId="17" fillId="22" borderId="0">
      <alignment horizontal="center" vertical="center"/>
      <protection/>
    </xf>
    <xf numFmtId="0" fontId="20" fillId="20" borderId="0">
      <alignment horizontal="center" vertical="center"/>
      <protection/>
    </xf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1" applyNumberFormat="0" applyAlignment="0" applyProtection="0"/>
    <xf numFmtId="0" fontId="78" fillId="30" borderId="2" applyNumberFormat="0" applyAlignment="0" applyProtection="0"/>
    <xf numFmtId="0" fontId="79" fillId="30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31" borderId="7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8" fillId="0" borderId="0" applyNumberFormat="0" applyFill="0" applyBorder="0" applyAlignment="0" applyProtection="0"/>
    <xf numFmtId="0" fontId="89" fillId="33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5" borderId="0" applyNumberFormat="0" applyBorder="0" applyAlignment="0" applyProtection="0"/>
  </cellStyleXfs>
  <cellXfs count="676">
    <xf numFmtId="0" fontId="0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95" fillId="0" borderId="0" xfId="0" applyFont="1" applyAlignment="1">
      <alignment/>
    </xf>
    <xf numFmtId="0" fontId="95" fillId="0" borderId="0" xfId="0" applyFont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0" xfId="0" applyFont="1" applyFill="1" applyAlignment="1">
      <alignment horizontal="right"/>
    </xf>
    <xf numFmtId="0" fontId="96" fillId="0" borderId="10" xfId="0" applyFont="1" applyBorder="1" applyAlignment="1">
      <alignment vertical="center" wrapText="1"/>
    </xf>
    <xf numFmtId="0" fontId="95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justify" vertical="center"/>
    </xf>
    <xf numFmtId="0" fontId="94" fillId="0" borderId="0" xfId="0" applyFont="1" applyAlignment="1">
      <alignment horizontal="justify" vertical="center"/>
    </xf>
    <xf numFmtId="0" fontId="97" fillId="0" borderId="0" xfId="0" applyFont="1" applyAlignment="1">
      <alignment horizontal="justify" vertical="center"/>
    </xf>
    <xf numFmtId="0" fontId="95" fillId="0" borderId="10" xfId="0" applyFont="1" applyBorder="1" applyAlignment="1">
      <alignment horizontal="left" vertical="center" wrapText="1" indent="2"/>
    </xf>
    <xf numFmtId="0" fontId="96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 horizontal="right" vertical="center"/>
    </xf>
    <xf numFmtId="0" fontId="99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49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justify" vertical="center" wrapText="1"/>
    </xf>
    <xf numFmtId="0" fontId="95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49" fontId="96" fillId="0" borderId="10" xfId="0" applyNumberFormat="1" applyFont="1" applyBorder="1" applyAlignment="1">
      <alignment horizontal="center" vertical="center" wrapText="1"/>
    </xf>
    <xf numFmtId="4" fontId="96" fillId="0" borderId="10" xfId="0" applyNumberFormat="1" applyFont="1" applyBorder="1" applyAlignment="1">
      <alignment horizontal="center" vertical="center" wrapText="1"/>
    </xf>
    <xf numFmtId="4" fontId="95" fillId="0" borderId="10" xfId="0" applyNumberFormat="1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4" fontId="96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4" fontId="95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 horizontal="right" vertical="center"/>
    </xf>
    <xf numFmtId="0" fontId="102" fillId="0" borderId="10" xfId="0" applyFont="1" applyBorder="1" applyAlignment="1">
      <alignment horizontal="center" vertical="center" wrapText="1"/>
    </xf>
    <xf numFmtId="4" fontId="102" fillId="0" borderId="10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0" fillId="0" borderId="0" xfId="0" applyBorder="1" applyAlignment="1">
      <alignment/>
    </xf>
    <xf numFmtId="0" fontId="95" fillId="0" borderId="11" xfId="0" applyFont="1" applyBorder="1" applyAlignment="1">
      <alignment horizontal="center" vertical="center" wrapText="1"/>
    </xf>
    <xf numFmtId="0" fontId="95" fillId="0" borderId="11" xfId="0" applyFont="1" applyBorder="1" applyAlignment="1">
      <alignment vertical="center" wrapText="1"/>
    </xf>
    <xf numFmtId="0" fontId="103" fillId="0" borderId="0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103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12" xfId="0" applyFont="1" applyBorder="1" applyAlignment="1">
      <alignment vertical="center" wrapText="1"/>
    </xf>
    <xf numFmtId="0" fontId="96" fillId="0" borderId="13" xfId="0" applyFont="1" applyBorder="1" applyAlignment="1">
      <alignment vertical="center" wrapText="1"/>
    </xf>
    <xf numFmtId="0" fontId="96" fillId="0" borderId="14" xfId="0" applyFont="1" applyBorder="1" applyAlignment="1">
      <alignment vertical="center" wrapText="1"/>
    </xf>
    <xf numFmtId="0" fontId="95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 vertical="center"/>
    </xf>
    <xf numFmtId="4" fontId="104" fillId="0" borderId="10" xfId="0" applyNumberFormat="1" applyFont="1" applyBorder="1" applyAlignment="1">
      <alignment horizontal="center" vertical="center"/>
    </xf>
    <xf numFmtId="0" fontId="95" fillId="36" borderId="0" xfId="0" applyFont="1" applyFill="1" applyAlignment="1">
      <alignment horizontal="right"/>
    </xf>
    <xf numFmtId="0" fontId="96" fillId="0" borderId="0" xfId="0" applyFont="1" applyAlignment="1">
      <alignment horizontal="left"/>
    </xf>
    <xf numFmtId="0" fontId="95" fillId="0" borderId="15" xfId="0" applyFont="1" applyBorder="1" applyAlignment="1">
      <alignment wrapText="1"/>
    </xf>
    <xf numFmtId="0" fontId="95" fillId="0" borderId="0" xfId="0" applyFont="1" applyBorder="1" applyAlignment="1">
      <alignment/>
    </xf>
    <xf numFmtId="0" fontId="95" fillId="0" borderId="15" xfId="0" applyFont="1" applyBorder="1" applyAlignment="1">
      <alignment/>
    </xf>
    <xf numFmtId="0" fontId="95" fillId="0" borderId="0" xfId="0" applyFont="1" applyAlignment="1">
      <alignment horizontal="right"/>
    </xf>
    <xf numFmtId="0" fontId="96" fillId="0" borderId="0" xfId="0" applyFont="1" applyBorder="1" applyAlignment="1">
      <alignment horizontal="center"/>
    </xf>
    <xf numFmtId="0" fontId="96" fillId="0" borderId="0" xfId="0" applyFont="1" applyAlignment="1">
      <alignment/>
    </xf>
    <xf numFmtId="0" fontId="95" fillId="0" borderId="10" xfId="0" applyFont="1" applyBorder="1" applyAlignment="1">
      <alignment/>
    </xf>
    <xf numFmtId="0" fontId="95" fillId="0" borderId="16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Alignment="1">
      <alignment vertical="top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4" fillId="0" borderId="0" xfId="0" applyFont="1" applyAlignment="1">
      <alignment horizontal="center" vertical="center"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106" fillId="0" borderId="0" xfId="0" applyFont="1" applyAlignment="1">
      <alignment/>
    </xf>
    <xf numFmtId="0" fontId="105" fillId="0" borderId="0" xfId="0" applyFont="1" applyAlignment="1">
      <alignment horizontal="right"/>
    </xf>
    <xf numFmtId="0" fontId="96" fillId="0" borderId="11" xfId="0" applyFont="1" applyBorder="1" applyAlignment="1">
      <alignment wrapText="1"/>
    </xf>
    <xf numFmtId="0" fontId="96" fillId="0" borderId="11" xfId="0" applyFont="1" applyBorder="1" applyAlignment="1">
      <alignment horizontal="justify" wrapText="1"/>
    </xf>
    <xf numFmtId="0" fontId="96" fillId="0" borderId="11" xfId="0" applyFont="1" applyBorder="1" applyAlignment="1">
      <alignment horizontal="justify" vertical="top" wrapText="1"/>
    </xf>
    <xf numFmtId="0" fontId="95" fillId="0" borderId="11" xfId="0" applyFont="1" applyBorder="1" applyAlignment="1">
      <alignment wrapText="1"/>
    </xf>
    <xf numFmtId="0" fontId="95" fillId="0" borderId="11" xfId="0" applyFont="1" applyBorder="1" applyAlignment="1">
      <alignment vertical="top" wrapText="1"/>
    </xf>
    <xf numFmtId="0" fontId="95" fillId="0" borderId="11" xfId="0" applyFont="1" applyBorder="1" applyAlignment="1">
      <alignment horizontal="justify" vertical="top" wrapText="1"/>
    </xf>
    <xf numFmtId="0" fontId="95" fillId="0" borderId="11" xfId="0" applyFont="1" applyBorder="1" applyAlignment="1">
      <alignment horizontal="justify" wrapText="1"/>
    </xf>
    <xf numFmtId="0" fontId="107" fillId="0" borderId="0" xfId="0" applyFont="1" applyAlignment="1">
      <alignment horizontal="justify"/>
    </xf>
    <xf numFmtId="0" fontId="95" fillId="0" borderId="11" xfId="0" applyFont="1" applyBorder="1" applyAlignment="1">
      <alignment horizontal="left" vertical="top" wrapText="1"/>
    </xf>
    <xf numFmtId="0" fontId="108" fillId="0" borderId="0" xfId="0" applyFont="1" applyAlignment="1">
      <alignment horizontal="justify"/>
    </xf>
    <xf numFmtId="0" fontId="84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9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" fontId="95" fillId="0" borderId="11" xfId="0" applyNumberFormat="1" applyFont="1" applyBorder="1" applyAlignment="1">
      <alignment horizontal="center" vertical="top" wrapText="1"/>
    </xf>
    <xf numFmtId="0" fontId="95" fillId="0" borderId="10" xfId="0" applyFont="1" applyBorder="1" applyAlignment="1">
      <alignment horizontal="center"/>
    </xf>
    <xf numFmtId="0" fontId="95" fillId="0" borderId="11" xfId="0" applyFont="1" applyBorder="1" applyAlignment="1">
      <alignment horizontal="center" wrapText="1"/>
    </xf>
    <xf numFmtId="0" fontId="96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wrapText="1"/>
    </xf>
    <xf numFmtId="0" fontId="100" fillId="0" borderId="11" xfId="0" applyFont="1" applyBorder="1" applyAlignment="1">
      <alignment vertical="top" wrapText="1"/>
    </xf>
    <xf numFmtId="0" fontId="84" fillId="0" borderId="11" xfId="0" applyFont="1" applyBorder="1" applyAlignment="1">
      <alignment wrapText="1"/>
    </xf>
    <xf numFmtId="0" fontId="95" fillId="0" borderId="11" xfId="0" applyFont="1" applyBorder="1" applyAlignment="1">
      <alignment horizontal="justify" vertical="center" wrapText="1"/>
    </xf>
    <xf numFmtId="0" fontId="106" fillId="0" borderId="0" xfId="0" applyFont="1" applyAlignment="1">
      <alignment wrapText="1"/>
    </xf>
    <xf numFmtId="0" fontId="94" fillId="0" borderId="11" xfId="0" applyFont="1" applyBorder="1" applyAlignment="1">
      <alignment horizontal="center" wrapText="1"/>
    </xf>
    <xf numFmtId="0" fontId="95" fillId="0" borderId="0" xfId="0" applyFont="1" applyAlignment="1">
      <alignment horizontal="left"/>
    </xf>
    <xf numFmtId="0" fontId="96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5" fillId="0" borderId="17" xfId="0" applyFont="1" applyBorder="1" applyAlignment="1">
      <alignment horizontal="center" wrapText="1"/>
    </xf>
    <xf numFmtId="0" fontId="10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5" fillId="0" borderId="11" xfId="0" applyFont="1" applyBorder="1" applyAlignment="1">
      <alignment horizontal="left" wrapText="1"/>
    </xf>
    <xf numFmtId="0" fontId="94" fillId="0" borderId="11" xfId="0" applyFont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95" fillId="0" borderId="0" xfId="0" applyFont="1" applyAlignment="1">
      <alignment horizontal="right"/>
    </xf>
    <xf numFmtId="0" fontId="94" fillId="0" borderId="0" xfId="0" applyFont="1" applyAlignment="1">
      <alignment horizontal="center" vertical="center"/>
    </xf>
    <xf numFmtId="0" fontId="95" fillId="0" borderId="18" xfId="0" applyFont="1" applyBorder="1" applyAlignment="1">
      <alignment horizontal="justify" wrapText="1"/>
    </xf>
    <xf numFmtId="0" fontId="94" fillId="0" borderId="0" xfId="0" applyFont="1" applyAlignment="1">
      <alignment horizontal="center" vertical="center" wrapText="1"/>
    </xf>
    <xf numFmtId="4" fontId="95" fillId="0" borderId="11" xfId="0" applyNumberFormat="1" applyFont="1" applyBorder="1" applyAlignment="1">
      <alignment horizontal="center" wrapText="1"/>
    </xf>
    <xf numFmtId="4" fontId="95" fillId="0" borderId="11" xfId="0" applyNumberFormat="1" applyFont="1" applyBorder="1" applyAlignment="1">
      <alignment wrapText="1"/>
    </xf>
    <xf numFmtId="4" fontId="96" fillId="0" borderId="11" xfId="0" applyNumberFormat="1" applyFont="1" applyBorder="1" applyAlignment="1">
      <alignment wrapText="1"/>
    </xf>
    <xf numFmtId="4" fontId="96" fillId="0" borderId="11" xfId="0" applyNumberFormat="1" applyFont="1" applyBorder="1" applyAlignment="1">
      <alignment horizontal="center" vertical="center" wrapText="1"/>
    </xf>
    <xf numFmtId="4" fontId="96" fillId="0" borderId="11" xfId="0" applyNumberFormat="1" applyFont="1" applyBorder="1" applyAlignment="1">
      <alignment horizontal="right" vertical="center" wrapText="1"/>
    </xf>
    <xf numFmtId="4" fontId="95" fillId="0" borderId="11" xfId="0" applyNumberFormat="1" applyFont="1" applyBorder="1" applyAlignment="1">
      <alignment horizontal="right" wrapText="1"/>
    </xf>
    <xf numFmtId="0" fontId="95" fillId="0" borderId="10" xfId="0" applyFont="1" applyBorder="1" applyAlignment="1">
      <alignment horizontal="center" vertical="center"/>
    </xf>
    <xf numFmtId="0" fontId="110" fillId="0" borderId="0" xfId="0" applyFont="1" applyAlignment="1">
      <alignment horizontal="center"/>
    </xf>
    <xf numFmtId="4" fontId="100" fillId="0" borderId="11" xfId="0" applyNumberFormat="1" applyFont="1" applyBorder="1" applyAlignment="1">
      <alignment wrapText="1"/>
    </xf>
    <xf numFmtId="0" fontId="95" fillId="0" borderId="14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right" vertical="center" wrapText="1"/>
    </xf>
    <xf numFmtId="4" fontId="95" fillId="0" borderId="11" xfId="0" applyNumberFormat="1" applyFont="1" applyBorder="1" applyAlignment="1">
      <alignment horizontal="right" vertical="center" wrapText="1"/>
    </xf>
    <xf numFmtId="0" fontId="110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left" wrapText="1"/>
    </xf>
    <xf numFmtId="4" fontId="95" fillId="0" borderId="11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justify"/>
    </xf>
    <xf numFmtId="0" fontId="11" fillId="0" borderId="0" xfId="86" applyFont="1">
      <alignment/>
      <protection/>
    </xf>
    <xf numFmtId="0" fontId="12" fillId="0" borderId="0" xfId="86" applyFont="1">
      <alignment/>
      <protection/>
    </xf>
    <xf numFmtId="0" fontId="10" fillId="0" borderId="0" xfId="86">
      <alignment/>
      <protection/>
    </xf>
    <xf numFmtId="0" fontId="4" fillId="0" borderId="0" xfId="86" applyFont="1" applyAlignment="1">
      <alignment horizontal="justify"/>
      <protection/>
    </xf>
    <xf numFmtId="4" fontId="11" fillId="0" borderId="10" xfId="86" applyNumberFormat="1" applyFont="1" applyBorder="1" applyAlignment="1">
      <alignment horizontal="center"/>
      <protection/>
    </xf>
    <xf numFmtId="4" fontId="13" fillId="0" borderId="10" xfId="86" applyNumberFormat="1" applyFont="1" applyBorder="1" applyAlignment="1">
      <alignment horizontal="center" wrapText="1"/>
      <protection/>
    </xf>
    <xf numFmtId="0" fontId="14" fillId="0" borderId="0" xfId="86" applyFont="1">
      <alignment/>
      <protection/>
    </xf>
    <xf numFmtId="0" fontId="15" fillId="0" borderId="0" xfId="86" applyFont="1">
      <alignment/>
      <protection/>
    </xf>
    <xf numFmtId="0" fontId="29" fillId="0" borderId="0" xfId="86" applyFont="1">
      <alignment/>
      <protection/>
    </xf>
    <xf numFmtId="0" fontId="29" fillId="0" borderId="10" xfId="86" applyFont="1" applyBorder="1" applyAlignment="1">
      <alignment horizontal="center" vertical="center"/>
      <protection/>
    </xf>
    <xf numFmtId="0" fontId="30" fillId="0" borderId="0" xfId="86" applyFont="1" applyAlignment="1">
      <alignment vertical="center"/>
      <protection/>
    </xf>
    <xf numFmtId="0" fontId="94" fillId="36" borderId="0" xfId="0" applyFont="1" applyFill="1" applyAlignment="1">
      <alignment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3" fillId="0" borderId="0" xfId="86" applyFont="1" applyAlignment="1">
      <alignment horizontal="center" wrapText="1"/>
      <protection/>
    </xf>
    <xf numFmtId="0" fontId="29" fillId="0" borderId="19" xfId="86" applyFont="1" applyBorder="1" applyAlignment="1">
      <alignment horizontal="center" vertical="center" wrapText="1"/>
      <protection/>
    </xf>
    <xf numFmtId="0" fontId="107" fillId="0" borderId="0" xfId="0" applyFont="1" applyAlignment="1">
      <alignment horizontal="center" wrapText="1"/>
    </xf>
    <xf numFmtId="0" fontId="107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0" xfId="86" applyFont="1" applyBorder="1" applyAlignment="1">
      <alignment horizontal="center" vertical="center" wrapText="1"/>
      <protection/>
    </xf>
    <xf numFmtId="0" fontId="29" fillId="0" borderId="10" xfId="86" applyFont="1" applyBorder="1" applyAlignment="1">
      <alignment horizontal="left" wrapText="1"/>
      <protection/>
    </xf>
    <xf numFmtId="4" fontId="11" fillId="0" borderId="10" xfId="86" applyNumberFormat="1" applyFont="1" applyBorder="1" applyAlignment="1">
      <alignment horizontal="center" wrapText="1"/>
      <protection/>
    </xf>
    <xf numFmtId="0" fontId="29" fillId="0" borderId="10" xfId="86" applyFont="1" applyBorder="1" applyAlignment="1">
      <alignment horizontal="justify" wrapText="1"/>
      <protection/>
    </xf>
    <xf numFmtId="0" fontId="95" fillId="0" borderId="18" xfId="0" applyFont="1" applyBorder="1" applyAlignment="1">
      <alignment horizontal="center" wrapText="1"/>
    </xf>
    <xf numFmtId="0" fontId="111" fillId="0" borderId="15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0" fontId="94" fillId="0" borderId="0" xfId="0" applyFont="1" applyAlignment="1">
      <alignment horizontal="right" vertical="top"/>
    </xf>
    <xf numFmtId="0" fontId="96" fillId="0" borderId="0" xfId="0" applyFont="1" applyBorder="1" applyAlignment="1">
      <alignment vertical="center" wrapText="1"/>
    </xf>
    <xf numFmtId="0" fontId="105" fillId="0" borderId="0" xfId="0" applyFont="1" applyBorder="1" applyAlignment="1">
      <alignment/>
    </xf>
    <xf numFmtId="0" fontId="95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wrapText="1"/>
    </xf>
    <xf numFmtId="0" fontId="95" fillId="0" borderId="10" xfId="0" applyFont="1" applyBorder="1" applyAlignment="1">
      <alignment horizontal="justify" vertical="top" wrapText="1"/>
    </xf>
    <xf numFmtId="4" fontId="95" fillId="0" borderId="10" xfId="0" applyNumberFormat="1" applyFont="1" applyBorder="1" applyAlignment="1">
      <alignment wrapText="1"/>
    </xf>
    <xf numFmtId="4" fontId="95" fillId="0" borderId="10" xfId="0" applyNumberFormat="1" applyFont="1" applyBorder="1" applyAlignment="1">
      <alignment vertical="center" wrapText="1"/>
    </xf>
    <xf numFmtId="0" fontId="95" fillId="0" borderId="10" xfId="0" applyFont="1" applyBorder="1" applyAlignment="1">
      <alignment vertical="center"/>
    </xf>
    <xf numFmtId="16" fontId="95" fillId="0" borderId="11" xfId="0" applyNumberFormat="1" applyFont="1" applyBorder="1" applyAlignment="1">
      <alignment horizontal="center" vertical="center" wrapText="1"/>
    </xf>
    <xf numFmtId="4" fontId="95" fillId="0" borderId="11" xfId="0" applyNumberFormat="1" applyFont="1" applyBorder="1" applyAlignment="1">
      <alignment vertical="center" wrapText="1"/>
    </xf>
    <xf numFmtId="4" fontId="112" fillId="0" borderId="11" xfId="0" applyNumberFormat="1" applyFont="1" applyBorder="1" applyAlignment="1">
      <alignment vertical="center" wrapText="1"/>
    </xf>
    <xf numFmtId="0" fontId="108" fillId="0" borderId="0" xfId="0" applyFont="1" applyBorder="1" applyAlignment="1">
      <alignment horizontal="center"/>
    </xf>
    <xf numFmtId="0" fontId="108" fillId="0" borderId="15" xfId="0" applyFont="1" applyBorder="1" applyAlignment="1">
      <alignment/>
    </xf>
    <xf numFmtId="4" fontId="112" fillId="0" borderId="11" xfId="0" applyNumberFormat="1" applyFont="1" applyBorder="1" applyAlignment="1">
      <alignment wrapText="1"/>
    </xf>
    <xf numFmtId="4" fontId="112" fillId="0" borderId="11" xfId="0" applyNumberFormat="1" applyFont="1" applyBorder="1" applyAlignment="1">
      <alignment horizontal="right" vertical="center" wrapText="1"/>
    </xf>
    <xf numFmtId="0" fontId="112" fillId="0" borderId="11" xfId="0" applyFont="1" applyBorder="1" applyAlignment="1">
      <alignment wrapText="1"/>
    </xf>
    <xf numFmtId="4" fontId="113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4" fontId="112" fillId="0" borderId="11" xfId="0" applyNumberFormat="1" applyFont="1" applyBorder="1" applyAlignment="1">
      <alignment horizontal="right" wrapText="1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left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5" fillId="0" borderId="0" xfId="0" applyFont="1" applyFill="1" applyAlignment="1">
      <alignment/>
    </xf>
    <xf numFmtId="0" fontId="95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wrapText="1"/>
    </xf>
    <xf numFmtId="0" fontId="94" fillId="0" borderId="21" xfId="0" applyFont="1" applyFill="1" applyBorder="1" applyAlignment="1">
      <alignment horizontal="right" vertical="top" wrapText="1"/>
    </xf>
    <xf numFmtId="0" fontId="95" fillId="0" borderId="15" xfId="0" applyFont="1" applyFill="1" applyBorder="1" applyAlignment="1">
      <alignment horizontal="right" wrapText="1"/>
    </xf>
    <xf numFmtId="0" fontId="95" fillId="0" borderId="22" xfId="0" applyFont="1" applyBorder="1" applyAlignment="1">
      <alignment horizontal="left" wrapText="1"/>
    </xf>
    <xf numFmtId="0" fontId="95" fillId="0" borderId="0" xfId="0" applyFont="1" applyBorder="1" applyAlignment="1">
      <alignment horizontal="left" wrapText="1"/>
    </xf>
    <xf numFmtId="9" fontId="95" fillId="0" borderId="11" xfId="0" applyNumberFormat="1" applyFont="1" applyBorder="1" applyAlignment="1">
      <alignment horizontal="left" vertical="top" wrapText="1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Alignment="1">
      <alignment horizontal="right"/>
    </xf>
    <xf numFmtId="0" fontId="95" fillId="0" borderId="15" xfId="0" applyFont="1" applyBorder="1" applyAlignment="1">
      <alignment horizontal="left" wrapText="1"/>
    </xf>
    <xf numFmtId="0" fontId="95" fillId="0" borderId="0" xfId="0" applyFont="1" applyFill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95" fillId="0" borderId="11" xfId="0" applyNumberFormat="1" applyFont="1" applyBorder="1" applyAlignment="1">
      <alignment horizontal="right" wrapText="1"/>
    </xf>
    <xf numFmtId="16" fontId="95" fillId="0" borderId="11" xfId="0" applyNumberFormat="1" applyFont="1" applyBorder="1" applyAlignment="1">
      <alignment horizontal="right" wrapText="1"/>
    </xf>
    <xf numFmtId="0" fontId="94" fillId="0" borderId="10" xfId="0" applyFont="1" applyBorder="1" applyAlignment="1">
      <alignment horizontal="center"/>
    </xf>
    <xf numFmtId="0" fontId="95" fillId="0" borderId="23" xfId="0" applyFont="1" applyBorder="1" applyAlignment="1">
      <alignment/>
    </xf>
    <xf numFmtId="0" fontId="95" fillId="0" borderId="0" xfId="0" applyFont="1" applyBorder="1" applyAlignment="1">
      <alignment horizontal="right" vertical="center"/>
    </xf>
    <xf numFmtId="0" fontId="114" fillId="0" borderId="10" xfId="0" applyFont="1" applyBorder="1" applyAlignment="1">
      <alignment horizontal="left" vertical="center"/>
    </xf>
    <xf numFmtId="0" fontId="95" fillId="0" borderId="0" xfId="0" applyFont="1" applyBorder="1" applyAlignment="1">
      <alignment horizontal="right"/>
    </xf>
    <xf numFmtId="0" fontId="11" fillId="36" borderId="0" xfId="0" applyFont="1" applyFill="1" applyBorder="1" applyAlignment="1">
      <alignment horizontal="right" wrapText="1"/>
    </xf>
    <xf numFmtId="0" fontId="11" fillId="36" borderId="0" xfId="0" applyFont="1" applyFill="1" applyBorder="1" applyAlignment="1">
      <alignment horizontal="left" wrapText="1"/>
    </xf>
    <xf numFmtId="0" fontId="95" fillId="0" borderId="11" xfId="0" applyFont="1" applyFill="1" applyBorder="1" applyAlignment="1">
      <alignment wrapText="1"/>
    </xf>
    <xf numFmtId="0" fontId="95" fillId="0" borderId="11" xfId="0" applyFont="1" applyFill="1" applyBorder="1" applyAlignment="1">
      <alignment horizontal="justify" wrapText="1"/>
    </xf>
    <xf numFmtId="4" fontId="95" fillId="0" borderId="11" xfId="0" applyNumberFormat="1" applyFont="1" applyFill="1" applyBorder="1" applyAlignment="1">
      <alignment vertical="center" wrapText="1"/>
    </xf>
    <xf numFmtId="0" fontId="95" fillId="0" borderId="11" xfId="0" applyFont="1" applyFill="1" applyBorder="1" applyAlignment="1">
      <alignment horizontal="justify" vertical="top" wrapText="1"/>
    </xf>
    <xf numFmtId="0" fontId="95" fillId="0" borderId="11" xfId="0" applyFont="1" applyFill="1" applyBorder="1" applyAlignment="1">
      <alignment horizontal="left" vertical="top" wrapText="1"/>
    </xf>
    <xf numFmtId="0" fontId="96" fillId="0" borderId="11" xfId="0" applyFont="1" applyFill="1" applyBorder="1" applyAlignment="1">
      <alignment horizontal="justify" vertical="top" wrapText="1"/>
    </xf>
    <xf numFmtId="0" fontId="84" fillId="0" borderId="0" xfId="0" applyFont="1" applyFill="1" applyAlignment="1">
      <alignment/>
    </xf>
    <xf numFmtId="0" fontId="94" fillId="0" borderId="1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0" fillId="0" borderId="2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96" fillId="0" borderId="11" xfId="0" applyFont="1" applyBorder="1" applyAlignment="1">
      <alignment horizontal="justify" vertical="center" wrapText="1"/>
    </xf>
    <xf numFmtId="0" fontId="96" fillId="0" borderId="11" xfId="0" applyFont="1" applyBorder="1" applyAlignment="1">
      <alignment vertical="top" wrapText="1"/>
    </xf>
    <xf numFmtId="9" fontId="96" fillId="0" borderId="11" xfId="0" applyNumberFormat="1" applyFont="1" applyBorder="1" applyAlignment="1">
      <alignment horizontal="left" vertical="top" wrapText="1"/>
    </xf>
    <xf numFmtId="0" fontId="115" fillId="0" borderId="0" xfId="0" applyFont="1" applyAlignment="1">
      <alignment/>
    </xf>
    <xf numFmtId="0" fontId="95" fillId="0" borderId="0" xfId="0" applyFont="1" applyAlignment="1">
      <alignment horizontal="center"/>
    </xf>
    <xf numFmtId="0" fontId="100" fillId="0" borderId="0" xfId="0" applyFont="1" applyAlignment="1">
      <alignment horizontal="right"/>
    </xf>
    <xf numFmtId="0" fontId="100" fillId="36" borderId="0" xfId="0" applyFont="1" applyFill="1" applyAlignment="1">
      <alignment horizontal="right"/>
    </xf>
    <xf numFmtId="0" fontId="96" fillId="0" borderId="0" xfId="0" applyFont="1" applyAlignment="1">
      <alignment horizontal="center" vertical="center"/>
    </xf>
    <xf numFmtId="0" fontId="95" fillId="0" borderId="16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4" fillId="0" borderId="0" xfId="0" applyFont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107" fillId="0" borderId="0" xfId="0" applyFont="1" applyAlignment="1">
      <alignment horizont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right" wrapText="1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95" fillId="0" borderId="18" xfId="0" applyFont="1" applyBorder="1" applyAlignment="1">
      <alignment horizontal="center" vertical="center" wrapText="1"/>
    </xf>
    <xf numFmtId="4" fontId="95" fillId="0" borderId="10" xfId="0" applyNumberFormat="1" applyFont="1" applyBorder="1" applyAlignment="1">
      <alignment vertical="center"/>
    </xf>
    <xf numFmtId="0" fontId="105" fillId="0" borderId="0" xfId="0" applyFont="1" applyAlignment="1">
      <alignment/>
    </xf>
    <xf numFmtId="4" fontId="11" fillId="0" borderId="10" xfId="0" applyNumberFormat="1" applyFont="1" applyBorder="1" applyAlignment="1">
      <alignment vertical="center"/>
    </xf>
    <xf numFmtId="172" fontId="11" fillId="0" borderId="10" xfId="86" applyNumberFormat="1" applyFont="1" applyBorder="1" applyAlignment="1">
      <alignment horizontal="center" wrapText="1"/>
      <protection/>
    </xf>
    <xf numFmtId="4" fontId="11" fillId="0" borderId="11" xfId="0" applyNumberFormat="1" applyFont="1" applyBorder="1" applyAlignment="1">
      <alignment vertical="center" wrapText="1"/>
    </xf>
    <xf numFmtId="4" fontId="13" fillId="0" borderId="11" xfId="0" applyNumberFormat="1" applyFont="1" applyBorder="1" applyAlignment="1">
      <alignment wrapText="1"/>
    </xf>
    <xf numFmtId="4" fontId="94" fillId="0" borderId="0" xfId="0" applyNumberFormat="1" applyFont="1" applyAlignment="1">
      <alignment/>
    </xf>
    <xf numFmtId="0" fontId="95" fillId="0" borderId="18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4" fontId="95" fillId="0" borderId="0" xfId="0" applyNumberFormat="1" applyFont="1" applyAlignment="1">
      <alignment/>
    </xf>
    <xf numFmtId="175" fontId="10" fillId="0" borderId="0" xfId="86" applyNumberFormat="1">
      <alignment/>
      <protection/>
    </xf>
    <xf numFmtId="4" fontId="0" fillId="0" borderId="0" xfId="0" applyNumberFormat="1" applyAlignment="1">
      <alignment/>
    </xf>
    <xf numFmtId="173" fontId="30" fillId="0" borderId="0" xfId="86" applyNumberFormat="1" applyFont="1">
      <alignment/>
      <protection/>
    </xf>
    <xf numFmtId="194" fontId="10" fillId="0" borderId="0" xfId="86" applyNumberFormat="1">
      <alignment/>
      <protection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vertical="center" wrapText="1"/>
    </xf>
    <xf numFmtId="0" fontId="66" fillId="0" borderId="0" xfId="0" applyFont="1" applyAlignment="1">
      <alignment/>
    </xf>
    <xf numFmtId="4" fontId="13" fillId="0" borderId="11" xfId="0" applyNumberFormat="1" applyFont="1" applyFill="1" applyBorder="1" applyAlignment="1">
      <alignment wrapText="1"/>
    </xf>
    <xf numFmtId="3" fontId="95" fillId="0" borderId="11" xfId="0" applyNumberFormat="1" applyFont="1" applyBorder="1" applyAlignment="1">
      <alignment horizontal="center" wrapText="1"/>
    </xf>
    <xf numFmtId="199" fontId="95" fillId="0" borderId="11" xfId="0" applyNumberFormat="1" applyFont="1" applyBorder="1" applyAlignment="1">
      <alignment horizontal="center" wrapText="1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94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wrapText="1"/>
    </xf>
    <xf numFmtId="4" fontId="12" fillId="0" borderId="0" xfId="86" applyNumberFormat="1" applyFont="1">
      <alignment/>
      <protection/>
    </xf>
    <xf numFmtId="4" fontId="14" fillId="0" borderId="0" xfId="86" applyNumberFormat="1" applyFont="1">
      <alignment/>
      <protection/>
    </xf>
    <xf numFmtId="4" fontId="11" fillId="0" borderId="0" xfId="86" applyNumberFormat="1" applyFont="1">
      <alignment/>
      <protection/>
    </xf>
    <xf numFmtId="174" fontId="12" fillId="0" borderId="0" xfId="86" applyNumberFormat="1" applyFont="1">
      <alignment/>
      <protection/>
    </xf>
    <xf numFmtId="201" fontId="12" fillId="0" borderId="0" xfId="86" applyNumberFormat="1" applyFont="1">
      <alignment/>
      <protection/>
    </xf>
    <xf numFmtId="172" fontId="10" fillId="0" borderId="0" xfId="86" applyNumberFormat="1">
      <alignment/>
      <protection/>
    </xf>
    <xf numFmtId="4" fontId="15" fillId="0" borderId="0" xfId="86" applyNumberFormat="1" applyFont="1">
      <alignment/>
      <protection/>
    </xf>
    <xf numFmtId="4" fontId="10" fillId="0" borderId="0" xfId="86" applyNumberFormat="1">
      <alignment/>
      <protection/>
    </xf>
    <xf numFmtId="197" fontId="11" fillId="0" borderId="0" xfId="86" applyNumberFormat="1" applyFont="1">
      <alignment/>
      <protection/>
    </xf>
    <xf numFmtId="197" fontId="10" fillId="0" borderId="0" xfId="86" applyNumberFormat="1">
      <alignment/>
      <protection/>
    </xf>
    <xf numFmtId="0" fontId="114" fillId="0" borderId="15" xfId="0" applyFon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6" fillId="0" borderId="0" xfId="0" applyFont="1" applyFill="1" applyAlignment="1">
      <alignment/>
    </xf>
    <xf numFmtId="0" fontId="118" fillId="0" borderId="0" xfId="0" applyFont="1" applyAlignment="1">
      <alignment/>
    </xf>
    <xf numFmtId="2" fontId="95" fillId="0" borderId="0" xfId="0" applyNumberFormat="1" applyFont="1" applyAlignment="1">
      <alignment/>
    </xf>
    <xf numFmtId="2" fontId="96" fillId="0" borderId="0" xfId="0" applyNumberFormat="1" applyFont="1" applyAlignment="1">
      <alignment/>
    </xf>
    <xf numFmtId="0" fontId="95" fillId="0" borderId="10" xfId="0" applyFont="1" applyBorder="1" applyAlignment="1">
      <alignment horizontal="center"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justify" vertical="center" wrapText="1"/>
    </xf>
    <xf numFmtId="4" fontId="102" fillId="0" borderId="10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justify" vertical="top" wrapText="1"/>
    </xf>
    <xf numFmtId="0" fontId="95" fillId="0" borderId="24" xfId="0" applyFont="1" applyBorder="1" applyAlignment="1">
      <alignment horizontal="justify" vertical="top" wrapText="1"/>
    </xf>
    <xf numFmtId="4" fontId="95" fillId="0" borderId="11" xfId="0" applyNumberFormat="1" applyFont="1" applyFill="1" applyBorder="1" applyAlignment="1">
      <alignment horizontal="center" vertical="center" wrapText="1"/>
    </xf>
    <xf numFmtId="4" fontId="116" fillId="0" borderId="0" xfId="0" applyNumberFormat="1" applyFont="1" applyFill="1" applyAlignment="1">
      <alignment/>
    </xf>
    <xf numFmtId="175" fontId="15" fillId="0" borderId="0" xfId="86" applyNumberFormat="1" applyFont="1">
      <alignment/>
      <protection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4" fontId="95" fillId="0" borderId="11" xfId="0" applyNumberFormat="1" applyFont="1" applyFill="1" applyBorder="1" applyAlignment="1">
      <alignment wrapText="1"/>
    </xf>
    <xf numFmtId="196" fontId="105" fillId="0" borderId="0" xfId="0" applyNumberFormat="1" applyFont="1" applyAlignment="1">
      <alignment/>
    </xf>
    <xf numFmtId="4" fontId="95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17" fillId="0" borderId="0" xfId="0" applyFont="1" applyFill="1" applyAlignment="1">
      <alignment/>
    </xf>
    <xf numFmtId="172" fontId="11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18" fillId="0" borderId="0" xfId="0" applyFont="1" applyFill="1" applyAlignment="1">
      <alignment/>
    </xf>
    <xf numFmtId="0" fontId="95" fillId="0" borderId="0" xfId="0" applyFont="1" applyAlignment="1">
      <alignment horizontal="right"/>
    </xf>
    <xf numFmtId="0" fontId="95" fillId="0" borderId="18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5" fillId="0" borderId="0" xfId="0" applyFont="1" applyAlignment="1">
      <alignment horizontal="right"/>
    </xf>
    <xf numFmtId="0" fontId="95" fillId="0" borderId="18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/>
    </xf>
    <xf numFmtId="2" fontId="95" fillId="0" borderId="10" xfId="0" applyNumberFormat="1" applyFont="1" applyBorder="1" applyAlignment="1">
      <alignment vertical="center" wrapText="1"/>
    </xf>
    <xf numFmtId="4" fontId="95" fillId="36" borderId="10" xfId="0" applyNumberFormat="1" applyFont="1" applyFill="1" applyBorder="1" applyAlignment="1">
      <alignment horizontal="center" vertical="center" wrapText="1"/>
    </xf>
    <xf numFmtId="4" fontId="96" fillId="36" borderId="10" xfId="0" applyNumberFormat="1" applyFont="1" applyFill="1" applyBorder="1" applyAlignment="1">
      <alignment horizontal="center" vertical="center" wrapText="1"/>
    </xf>
    <xf numFmtId="4" fontId="102" fillId="36" borderId="10" xfId="0" applyNumberFormat="1" applyFont="1" applyFill="1" applyBorder="1" applyAlignment="1">
      <alignment horizontal="center" vertical="center" wrapText="1"/>
    </xf>
    <xf numFmtId="4" fontId="11" fillId="36" borderId="10" xfId="86" applyNumberFormat="1" applyFont="1" applyFill="1" applyBorder="1" applyAlignment="1">
      <alignment horizontal="center" wrapText="1"/>
      <protection/>
    </xf>
    <xf numFmtId="4" fontId="13" fillId="36" borderId="10" xfId="86" applyNumberFormat="1" applyFont="1" applyFill="1" applyBorder="1" applyAlignment="1">
      <alignment horizontal="center" wrapText="1"/>
      <protection/>
    </xf>
    <xf numFmtId="4" fontId="11" fillId="36" borderId="11" xfId="0" applyNumberFormat="1" applyFont="1" applyFill="1" applyBorder="1" applyAlignment="1">
      <alignment wrapText="1"/>
    </xf>
    <xf numFmtId="4" fontId="95" fillId="36" borderId="11" xfId="0" applyNumberFormat="1" applyFont="1" applyFill="1" applyBorder="1" applyAlignment="1">
      <alignment wrapText="1"/>
    </xf>
    <xf numFmtId="4" fontId="95" fillId="36" borderId="11" xfId="0" applyNumberFormat="1" applyFont="1" applyFill="1" applyBorder="1" applyAlignment="1">
      <alignment horizontal="right" vertical="center" wrapText="1"/>
    </xf>
    <xf numFmtId="0" fontId="96" fillId="36" borderId="11" xfId="0" applyFont="1" applyFill="1" applyBorder="1" applyAlignment="1">
      <alignment horizontal="left" wrapText="1"/>
    </xf>
    <xf numFmtId="9" fontId="95" fillId="36" borderId="11" xfId="0" applyNumberFormat="1" applyFont="1" applyFill="1" applyBorder="1" applyAlignment="1">
      <alignment horizontal="left" vertical="top" wrapText="1"/>
    </xf>
    <xf numFmtId="4" fontId="95" fillId="36" borderId="11" xfId="0" applyNumberFormat="1" applyFont="1" applyFill="1" applyBorder="1" applyAlignment="1">
      <alignment horizontal="center" vertical="center" wrapText="1"/>
    </xf>
    <xf numFmtId="4" fontId="96" fillId="36" borderId="11" xfId="0" applyNumberFormat="1" applyFont="1" applyFill="1" applyBorder="1" applyAlignment="1">
      <alignment wrapText="1"/>
    </xf>
    <xf numFmtId="4" fontId="13" fillId="36" borderId="11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205" fontId="96" fillId="0" borderId="10" xfId="0" applyNumberFormat="1" applyFont="1" applyBorder="1" applyAlignment="1">
      <alignment horizontal="center" vertical="center" wrapText="1"/>
    </xf>
    <xf numFmtId="205" fontId="13" fillId="0" borderId="10" xfId="0" applyNumberFormat="1" applyFont="1" applyBorder="1" applyAlignment="1">
      <alignment horizontal="center" vertical="center" wrapText="1"/>
    </xf>
    <xf numFmtId="0" fontId="95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95" fillId="0" borderId="14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center" vertical="center" wrapText="1"/>
    </xf>
    <xf numFmtId="49" fontId="95" fillId="0" borderId="17" xfId="0" applyNumberFormat="1" applyFont="1" applyFill="1" applyBorder="1" applyAlignment="1">
      <alignment horizontal="left" vertical="top" wrapText="1"/>
    </xf>
    <xf numFmtId="49" fontId="95" fillId="0" borderId="11" xfId="0" applyNumberFormat="1" applyFont="1" applyFill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2" fontId="96" fillId="0" borderId="11" xfId="0" applyNumberFormat="1" applyFont="1" applyBorder="1" applyAlignment="1">
      <alignment horizontal="center" vertical="center" wrapText="1"/>
    </xf>
    <xf numFmtId="2" fontId="95" fillId="0" borderId="11" xfId="0" applyNumberFormat="1" applyFont="1" applyBorder="1" applyAlignment="1">
      <alignment horizontal="center" vertical="center" wrapText="1"/>
    </xf>
    <xf numFmtId="2" fontId="96" fillId="0" borderId="13" xfId="0" applyNumberFormat="1" applyFont="1" applyBorder="1" applyAlignment="1">
      <alignment vertical="center" wrapText="1"/>
    </xf>
    <xf numFmtId="2" fontId="95" fillId="0" borderId="10" xfId="0" applyNumberFormat="1" applyFont="1" applyFill="1" applyBorder="1" applyAlignment="1">
      <alignment horizontal="center" vertical="center" wrapText="1"/>
    </xf>
    <xf numFmtId="2" fontId="95" fillId="0" borderId="17" xfId="0" applyNumberFormat="1" applyFont="1" applyBorder="1" applyAlignment="1">
      <alignment horizontal="center" vertical="center" wrapText="1"/>
    </xf>
    <xf numFmtId="2" fontId="95" fillId="0" borderId="11" xfId="0" applyNumberFormat="1" applyFont="1" applyBorder="1" applyAlignment="1">
      <alignment vertical="center" wrapText="1"/>
    </xf>
    <xf numFmtId="2" fontId="95" fillId="0" borderId="14" xfId="0" applyNumberFormat="1" applyFont="1" applyBorder="1" applyAlignment="1">
      <alignment horizontal="center" vertical="center" wrapText="1"/>
    </xf>
    <xf numFmtId="0" fontId="95" fillId="0" borderId="17" xfId="0" applyFont="1" applyBorder="1" applyAlignment="1">
      <alignment vertical="center" wrapText="1"/>
    </xf>
    <xf numFmtId="0" fontId="95" fillId="0" borderId="25" xfId="0" applyFont="1" applyFill="1" applyBorder="1" applyAlignment="1">
      <alignment vertical="center" wrapText="1"/>
    </xf>
    <xf numFmtId="0" fontId="95" fillId="0" borderId="26" xfId="0" applyFont="1" applyBorder="1" applyAlignment="1">
      <alignment horizontal="center" vertical="center" wrapText="1"/>
    </xf>
    <xf numFmtId="2" fontId="96" fillId="0" borderId="17" xfId="0" applyNumberFormat="1" applyFont="1" applyBorder="1" applyAlignment="1">
      <alignment horizontal="center" vertical="center" wrapText="1"/>
    </xf>
    <xf numFmtId="2" fontId="96" fillId="0" borderId="18" xfId="0" applyNumberFormat="1" applyFont="1" applyBorder="1" applyAlignment="1">
      <alignment horizontal="center" vertical="center" wrapText="1"/>
    </xf>
    <xf numFmtId="0" fontId="96" fillId="0" borderId="18" xfId="0" applyFont="1" applyBorder="1" applyAlignment="1">
      <alignment vertical="center" wrapText="1"/>
    </xf>
    <xf numFmtId="0" fontId="96" fillId="0" borderId="17" xfId="0" applyFont="1" applyBorder="1" applyAlignment="1">
      <alignment vertical="center" wrapText="1"/>
    </xf>
    <xf numFmtId="2" fontId="96" fillId="0" borderId="10" xfId="0" applyNumberFormat="1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2" fontId="95" fillId="0" borderId="18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vertical="center" wrapText="1"/>
    </xf>
    <xf numFmtId="0" fontId="96" fillId="0" borderId="25" xfId="0" applyFont="1" applyFill="1" applyBorder="1" applyAlignment="1">
      <alignment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/>
    </xf>
    <xf numFmtId="2" fontId="100" fillId="0" borderId="11" xfId="0" applyNumberFormat="1" applyFont="1" applyBorder="1" applyAlignment="1">
      <alignment wrapText="1"/>
    </xf>
    <xf numFmtId="2" fontId="95" fillId="36" borderId="10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7" fillId="0" borderId="15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5" fillId="0" borderId="17" xfId="0" applyFont="1" applyBorder="1" applyAlignment="1">
      <alignment horizontal="center" vertical="center" wrapText="1"/>
    </xf>
    <xf numFmtId="0" fontId="112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wrapText="1"/>
    </xf>
    <xf numFmtId="0" fontId="103" fillId="0" borderId="11" xfId="0" applyFont="1" applyBorder="1" applyAlignment="1">
      <alignment vertical="top" wrapText="1"/>
    </xf>
    <xf numFmtId="4" fontId="95" fillId="0" borderId="10" xfId="0" applyNumberFormat="1" applyFont="1" applyFill="1" applyBorder="1" applyAlignment="1">
      <alignment vertical="center" wrapText="1"/>
    </xf>
    <xf numFmtId="0" fontId="94" fillId="37" borderId="11" xfId="0" applyFont="1" applyFill="1" applyBorder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95" fillId="0" borderId="10" xfId="0" applyFont="1" applyBorder="1" applyAlignment="1">
      <alignment horizontal="center" vertical="center" wrapText="1"/>
    </xf>
    <xf numFmtId="4" fontId="96" fillId="0" borderId="11" xfId="0" applyNumberFormat="1" applyFont="1" applyFill="1" applyBorder="1" applyAlignment="1">
      <alignment horizontal="center" vertical="center" wrapText="1"/>
    </xf>
    <xf numFmtId="4" fontId="96" fillId="0" borderId="11" xfId="0" applyNumberFormat="1" applyFont="1" applyFill="1" applyBorder="1" applyAlignment="1">
      <alignment wrapText="1"/>
    </xf>
    <xf numFmtId="0" fontId="96" fillId="0" borderId="11" xfId="0" applyFont="1" applyFill="1" applyBorder="1" applyAlignment="1">
      <alignment vertical="top" wrapText="1"/>
    </xf>
    <xf numFmtId="9" fontId="95" fillId="0" borderId="11" xfId="0" applyNumberFormat="1" applyFont="1" applyFill="1" applyBorder="1" applyAlignment="1">
      <alignment horizontal="left" vertical="top" wrapText="1"/>
    </xf>
    <xf numFmtId="9" fontId="96" fillId="0" borderId="11" xfId="0" applyNumberFormat="1" applyFont="1" applyFill="1" applyBorder="1" applyAlignment="1">
      <alignment horizontal="left" vertical="top" wrapText="1"/>
    </xf>
    <xf numFmtId="0" fontId="95" fillId="0" borderId="11" xfId="0" applyFont="1" applyFill="1" applyBorder="1" applyAlignment="1">
      <alignment horizontal="center" vertical="center" wrapText="1"/>
    </xf>
    <xf numFmtId="4" fontId="96" fillId="0" borderId="11" xfId="0" applyNumberFormat="1" applyFont="1" applyFill="1" applyBorder="1" applyAlignment="1">
      <alignment horizontal="right" vertical="center" wrapText="1"/>
    </xf>
    <xf numFmtId="0" fontId="95" fillId="0" borderId="11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0" fontId="118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5" fillId="0" borderId="10" xfId="0" applyFont="1" applyFill="1" applyBorder="1" applyAlignment="1">
      <alignment horizontal="right" vertical="center"/>
    </xf>
    <xf numFmtId="0" fontId="95" fillId="0" borderId="25" xfId="0" applyFont="1" applyFill="1" applyBorder="1" applyAlignment="1">
      <alignment horizontal="right" vertical="center"/>
    </xf>
    <xf numFmtId="0" fontId="95" fillId="0" borderId="0" xfId="0" applyFont="1" applyAlignment="1">
      <alignment horizontal="center"/>
    </xf>
    <xf numFmtId="0" fontId="95" fillId="0" borderId="17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73" fontId="11" fillId="0" borderId="10" xfId="86" applyNumberFormat="1" applyFont="1" applyBorder="1" applyAlignment="1">
      <alignment horizontal="center" wrapText="1"/>
      <protection/>
    </xf>
    <xf numFmtId="0" fontId="95" fillId="0" borderId="18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49" fontId="95" fillId="0" borderId="11" xfId="0" applyNumberFormat="1" applyFont="1" applyFill="1" applyBorder="1" applyAlignment="1">
      <alignment horizontal="left" vertical="top" wrapText="1"/>
    </xf>
    <xf numFmtId="0" fontId="96" fillId="0" borderId="14" xfId="0" applyFont="1" applyFill="1" applyBorder="1" applyAlignment="1">
      <alignment vertical="center" wrapText="1"/>
    </xf>
    <xf numFmtId="0" fontId="95" fillId="0" borderId="11" xfId="0" applyFont="1" applyFill="1" applyBorder="1" applyAlignment="1">
      <alignment horizontal="left" vertical="center" wrapText="1"/>
    </xf>
    <xf numFmtId="49" fontId="95" fillId="0" borderId="10" xfId="0" applyNumberFormat="1" applyFont="1" applyFill="1" applyBorder="1" applyAlignment="1">
      <alignment horizontal="left" vertical="top" wrapText="1"/>
    </xf>
    <xf numFmtId="0" fontId="95" fillId="0" borderId="17" xfId="0" applyFont="1" applyFill="1" applyBorder="1" applyAlignment="1">
      <alignment horizontal="center" vertical="center" wrapText="1"/>
    </xf>
    <xf numFmtId="2" fontId="95" fillId="0" borderId="27" xfId="0" applyNumberFormat="1" applyFont="1" applyFill="1" applyBorder="1" applyAlignment="1">
      <alignment vertical="center" wrapText="1"/>
    </xf>
    <xf numFmtId="2" fontId="95" fillId="0" borderId="15" xfId="0" applyNumberFormat="1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vertical="center" wrapText="1"/>
    </xf>
    <xf numFmtId="0" fontId="95" fillId="0" borderId="0" xfId="0" applyFont="1" applyAlignment="1">
      <alignment horizontal="right"/>
    </xf>
    <xf numFmtId="0" fontId="95" fillId="0" borderId="18" xfId="0" applyFont="1" applyBorder="1" applyAlignment="1">
      <alignment horizontal="center" vertical="center" wrapText="1"/>
    </xf>
    <xf numFmtId="0" fontId="95" fillId="0" borderId="0" xfId="0" applyFont="1" applyAlignment="1">
      <alignment horizontal="right"/>
    </xf>
    <xf numFmtId="0" fontId="95" fillId="0" borderId="18" xfId="0" applyFont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10" fontId="95" fillId="0" borderId="11" xfId="0" applyNumberFormat="1" applyFont="1" applyFill="1" applyBorder="1" applyAlignment="1">
      <alignment horizontal="left" vertical="center" wrapText="1"/>
    </xf>
    <xf numFmtId="0" fontId="95" fillId="0" borderId="18" xfId="0" applyFont="1" applyFill="1" applyBorder="1" applyAlignment="1">
      <alignment horizontal="left" vertical="center" wrapText="1"/>
    </xf>
    <xf numFmtId="0" fontId="95" fillId="0" borderId="17" xfId="0" applyFont="1" applyBorder="1" applyAlignment="1">
      <alignment horizontal="center" vertical="center" wrapText="1"/>
    </xf>
    <xf numFmtId="2" fontId="95" fillId="0" borderId="28" xfId="0" applyNumberFormat="1" applyFont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left" vertical="top" wrapText="1"/>
    </xf>
    <xf numFmtId="2" fontId="95" fillId="0" borderId="10" xfId="0" applyNumberFormat="1" applyFont="1" applyFill="1" applyBorder="1" applyAlignment="1">
      <alignment vertical="center" wrapText="1"/>
    </xf>
    <xf numFmtId="2" fontId="95" fillId="0" borderId="23" xfId="0" applyNumberFormat="1" applyFont="1" applyFill="1" applyBorder="1" applyAlignment="1">
      <alignment vertical="center" wrapText="1"/>
    </xf>
    <xf numFmtId="0" fontId="95" fillId="0" borderId="0" xfId="0" applyFont="1" applyAlignment="1">
      <alignment horizontal="center"/>
    </xf>
    <xf numFmtId="0" fontId="108" fillId="0" borderId="15" xfId="0" applyFont="1" applyBorder="1" applyAlignment="1">
      <alignment horizontal="center"/>
    </xf>
    <xf numFmtId="0" fontId="95" fillId="37" borderId="15" xfId="0" applyFont="1" applyFill="1" applyBorder="1" applyAlignment="1">
      <alignment/>
    </xf>
    <xf numFmtId="0" fontId="96" fillId="0" borderId="11" xfId="0" applyFont="1" applyBorder="1" applyAlignment="1">
      <alignment horizontal="left" vertical="top" wrapText="1"/>
    </xf>
    <xf numFmtId="0" fontId="103" fillId="0" borderId="11" xfId="0" applyFont="1" applyBorder="1" applyAlignment="1">
      <alignment horizontal="left" vertical="top" wrapText="1"/>
    </xf>
    <xf numFmtId="199" fontId="95" fillId="0" borderId="10" xfId="0" applyNumberFormat="1" applyFont="1" applyBorder="1" applyAlignment="1">
      <alignment vertical="center" wrapText="1"/>
    </xf>
    <xf numFmtId="4" fontId="13" fillId="36" borderId="11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top" wrapText="1" indent="1"/>
      <protection/>
    </xf>
    <xf numFmtId="0" fontId="33" fillId="0" borderId="10" xfId="0" applyNumberFormat="1" applyFont="1" applyFill="1" applyBorder="1" applyAlignment="1" applyProtection="1">
      <alignment horizontal="right" vertical="top"/>
      <protection/>
    </xf>
    <xf numFmtId="0" fontId="33" fillId="36" borderId="10" xfId="0" applyNumberFormat="1" applyFont="1" applyFill="1" applyBorder="1" applyAlignment="1" applyProtection="1">
      <alignment horizontal="right" vertical="top"/>
      <protection/>
    </xf>
    <xf numFmtId="173" fontId="13" fillId="0" borderId="10" xfId="86" applyNumberFormat="1" applyFont="1" applyBorder="1" applyAlignment="1">
      <alignment horizontal="center" wrapText="1"/>
      <protection/>
    </xf>
    <xf numFmtId="4" fontId="95" fillId="37" borderId="10" xfId="0" applyNumberFormat="1" applyFont="1" applyFill="1" applyBorder="1" applyAlignment="1">
      <alignment wrapText="1"/>
    </xf>
    <xf numFmtId="0" fontId="95" fillId="0" borderId="10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95" fillId="36" borderId="11" xfId="0" applyFont="1" applyFill="1" applyBorder="1" applyAlignment="1">
      <alignment horizontal="justify" vertical="top" wrapText="1"/>
    </xf>
    <xf numFmtId="0" fontId="118" fillId="0" borderId="10" xfId="0" applyFont="1" applyBorder="1" applyAlignment="1">
      <alignment/>
    </xf>
    <xf numFmtId="0" fontId="100" fillId="0" borderId="0" xfId="0" applyFont="1" applyBorder="1" applyAlignment="1">
      <alignment horizontal="left" vertical="center"/>
    </xf>
    <xf numFmtId="4" fontId="119" fillId="0" borderId="10" xfId="0" applyNumberFormat="1" applyFont="1" applyBorder="1" applyAlignment="1">
      <alignment horizontal="center" vertical="center" wrapText="1"/>
    </xf>
    <xf numFmtId="4" fontId="120" fillId="0" borderId="10" xfId="0" applyNumberFormat="1" applyFont="1" applyBorder="1" applyAlignment="1">
      <alignment horizontal="center" vertical="center" wrapText="1"/>
    </xf>
    <xf numFmtId="4" fontId="118" fillId="0" borderId="10" xfId="0" applyNumberFormat="1" applyFont="1" applyBorder="1" applyAlignment="1">
      <alignment horizontal="center" vertical="center" wrapText="1"/>
    </xf>
    <xf numFmtId="4" fontId="121" fillId="0" borderId="10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4" fontId="120" fillId="0" borderId="10" xfId="0" applyNumberFormat="1" applyFont="1" applyFill="1" applyBorder="1" applyAlignment="1">
      <alignment horizontal="center" vertical="center" wrapText="1"/>
    </xf>
    <xf numFmtId="4" fontId="119" fillId="0" borderId="10" xfId="0" applyNumberFormat="1" applyFont="1" applyFill="1" applyBorder="1" applyAlignment="1">
      <alignment horizontal="center" vertical="center" wrapText="1"/>
    </xf>
    <xf numFmtId="4" fontId="118" fillId="0" borderId="10" xfId="0" applyNumberFormat="1" applyFont="1" applyFill="1" applyBorder="1" applyAlignment="1">
      <alignment horizontal="center" vertical="center" wrapText="1"/>
    </xf>
    <xf numFmtId="4" fontId="121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" fontId="13" fillId="36" borderId="11" xfId="0" applyNumberFormat="1" applyFont="1" applyFill="1" applyBorder="1" applyAlignment="1">
      <alignment vertical="center" wrapText="1"/>
    </xf>
    <xf numFmtId="0" fontId="118" fillId="37" borderId="10" xfId="0" applyFont="1" applyFill="1" applyBorder="1" applyAlignment="1">
      <alignment horizontal="center" vertical="center" wrapText="1"/>
    </xf>
    <xf numFmtId="2" fontId="121" fillId="36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 wrapText="1" indent="1"/>
      <protection/>
    </xf>
    <xf numFmtId="0" fontId="95" fillId="36" borderId="1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122" fillId="0" borderId="0" xfId="0" applyFont="1" applyAlignment="1">
      <alignment wrapText="1"/>
    </xf>
    <xf numFmtId="0" fontId="122" fillId="0" borderId="0" xfId="0" applyFont="1" applyAlignment="1">
      <alignment/>
    </xf>
    <xf numFmtId="4" fontId="109" fillId="36" borderId="10" xfId="0" applyNumberFormat="1" applyFont="1" applyFill="1" applyBorder="1" applyAlignment="1">
      <alignment horizontal="center" vertical="center" wrapText="1"/>
    </xf>
    <xf numFmtId="4" fontId="109" fillId="0" borderId="10" xfId="0" applyNumberFormat="1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0" xfId="0" applyFont="1" applyAlignment="1">
      <alignment horizontal="right"/>
    </xf>
    <xf numFmtId="0" fontId="95" fillId="0" borderId="0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0" borderId="0" xfId="0" applyFont="1" applyAlignment="1">
      <alignment horizontal="center" wrapText="1"/>
    </xf>
    <xf numFmtId="0" fontId="95" fillId="0" borderId="18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2" fontId="118" fillId="0" borderId="11" xfId="0" applyNumberFormat="1" applyFont="1" applyBorder="1" applyAlignment="1">
      <alignment horizontal="center" vertical="center" wrapText="1"/>
    </xf>
    <xf numFmtId="2" fontId="116" fillId="0" borderId="11" xfId="0" applyNumberFormat="1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/>
    </xf>
    <xf numFmtId="0" fontId="120" fillId="0" borderId="15" xfId="0" applyFont="1" applyBorder="1" applyAlignment="1">
      <alignment horizontal="left" vertical="center"/>
    </xf>
    <xf numFmtId="0" fontId="108" fillId="0" borderId="0" xfId="0" applyFont="1" applyBorder="1" applyAlignment="1">
      <alignment vertical="center" wrapText="1"/>
    </xf>
    <xf numFmtId="0" fontId="118" fillId="0" borderId="0" xfId="0" applyFont="1" applyBorder="1" applyAlignment="1">
      <alignment vertical="center" wrapText="1"/>
    </xf>
    <xf numFmtId="0" fontId="116" fillId="0" borderId="0" xfId="0" applyFont="1" applyBorder="1" applyAlignment="1">
      <alignment/>
    </xf>
    <xf numFmtId="0" fontId="95" fillId="0" borderId="0" xfId="0" applyFont="1" applyBorder="1" applyAlignment="1">
      <alignment wrapText="1"/>
    </xf>
    <xf numFmtId="0" fontId="96" fillId="0" borderId="0" xfId="0" applyFont="1" applyBorder="1" applyAlignment="1">
      <alignment horizontal="justify" vertical="top" wrapText="1"/>
    </xf>
    <xf numFmtId="0" fontId="96" fillId="0" borderId="0" xfId="0" applyFont="1" applyBorder="1" applyAlignment="1">
      <alignment horizontal="center" wrapText="1"/>
    </xf>
    <xf numFmtId="4" fontId="13" fillId="0" borderId="0" xfId="0" applyNumberFormat="1" applyFont="1" applyFill="1" applyBorder="1" applyAlignment="1">
      <alignment wrapText="1"/>
    </xf>
    <xf numFmtId="0" fontId="97" fillId="0" borderId="15" xfId="0" applyFont="1" applyBorder="1" applyAlignment="1">
      <alignment horizontal="center" wrapText="1"/>
    </xf>
    <xf numFmtId="0" fontId="95" fillId="36" borderId="0" xfId="0" applyFont="1" applyFill="1" applyAlignment="1">
      <alignment horizontal="right"/>
    </xf>
    <xf numFmtId="0" fontId="100" fillId="36" borderId="0" xfId="0" applyFont="1" applyFill="1" applyBorder="1" applyAlignment="1">
      <alignment horizontal="right" vertical="top" wrapText="1"/>
    </xf>
    <xf numFmtId="0" fontId="95" fillId="0" borderId="0" xfId="0" applyFont="1" applyBorder="1" applyAlignment="1">
      <alignment horizontal="right" vertical="center"/>
    </xf>
    <xf numFmtId="0" fontId="9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right" wrapText="1"/>
    </xf>
    <xf numFmtId="0" fontId="103" fillId="0" borderId="0" xfId="0" applyFont="1" applyAlignment="1">
      <alignment horizontal="right" wrapText="1"/>
    </xf>
    <xf numFmtId="0" fontId="96" fillId="0" borderId="0" xfId="0" applyFont="1" applyAlignment="1">
      <alignment horizontal="center" wrapText="1"/>
    </xf>
    <xf numFmtId="0" fontId="103" fillId="0" borderId="0" xfId="0" applyFont="1" applyAlignment="1">
      <alignment wrapText="1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6" fillId="0" borderId="0" xfId="0" applyFont="1" applyAlignment="1">
      <alignment horizontal="center" shrinkToFit="1"/>
    </xf>
    <xf numFmtId="0" fontId="9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5" fillId="0" borderId="0" xfId="0" applyFont="1" applyAlignment="1">
      <alignment horizontal="left" wrapText="1"/>
    </xf>
    <xf numFmtId="0" fontId="95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94" fillId="0" borderId="0" xfId="0" applyFont="1" applyAlignment="1">
      <alignment horizontal="center" wrapText="1"/>
    </xf>
    <xf numFmtId="0" fontId="11" fillId="36" borderId="0" xfId="0" applyFont="1" applyFill="1" applyBorder="1" applyAlignment="1">
      <alignment horizontal="center"/>
    </xf>
    <xf numFmtId="0" fontId="100" fillId="36" borderId="0" xfId="0" applyFont="1" applyFill="1" applyAlignment="1">
      <alignment horizontal="right"/>
    </xf>
    <xf numFmtId="0" fontId="100" fillId="36" borderId="0" xfId="0" applyFont="1" applyFill="1" applyBorder="1" applyAlignment="1">
      <alignment horizontal="center" vertical="top" wrapText="1"/>
    </xf>
    <xf numFmtId="0" fontId="95" fillId="0" borderId="25" xfId="0" applyFont="1" applyBorder="1" applyAlignment="1">
      <alignment horizontal="right" vertical="center"/>
    </xf>
    <xf numFmtId="0" fontId="95" fillId="0" borderId="31" xfId="0" applyFont="1" applyBorder="1" applyAlignment="1">
      <alignment horizontal="right" vertical="center"/>
    </xf>
    <xf numFmtId="0" fontId="95" fillId="0" borderId="23" xfId="0" applyFont="1" applyBorder="1" applyAlignment="1">
      <alignment horizontal="right" vertical="center"/>
    </xf>
    <xf numFmtId="0" fontId="95" fillId="0" borderId="0" xfId="0" applyFont="1" applyBorder="1" applyAlignment="1">
      <alignment horizontal="center"/>
    </xf>
    <xf numFmtId="0" fontId="123" fillId="0" borderId="22" xfId="0" applyFont="1" applyBorder="1" applyAlignment="1">
      <alignment horizontal="center" vertical="center"/>
    </xf>
    <xf numFmtId="0" fontId="95" fillId="0" borderId="32" xfId="0" applyFont="1" applyBorder="1" applyAlignment="1">
      <alignment horizontal="left" vertical="center" wrapText="1"/>
    </xf>
    <xf numFmtId="0" fontId="95" fillId="36" borderId="21" xfId="0" applyFont="1" applyFill="1" applyBorder="1" applyAlignment="1">
      <alignment vertical="top" wrapText="1"/>
    </xf>
    <xf numFmtId="0" fontId="95" fillId="36" borderId="15" xfId="0" applyFont="1" applyFill="1" applyBorder="1" applyAlignment="1">
      <alignment horizontal="center"/>
    </xf>
    <xf numFmtId="0" fontId="95" fillId="36" borderId="21" xfId="0" applyFont="1" applyFill="1" applyBorder="1" applyAlignment="1">
      <alignment horizontal="left" wrapText="1"/>
    </xf>
    <xf numFmtId="0" fontId="95" fillId="36" borderId="22" xfId="0" applyFont="1" applyFill="1" applyBorder="1" applyAlignment="1">
      <alignment horizontal="left" wrapText="1"/>
    </xf>
    <xf numFmtId="0" fontId="95" fillId="36" borderId="0" xfId="0" applyFont="1" applyFill="1" applyBorder="1" applyAlignment="1">
      <alignment horizontal="left" wrapText="1"/>
    </xf>
    <xf numFmtId="0" fontId="95" fillId="0" borderId="15" xfId="0" applyFont="1" applyFill="1" applyBorder="1" applyAlignment="1">
      <alignment horizontal="center"/>
    </xf>
    <xf numFmtId="0" fontId="95" fillId="0" borderId="22" xfId="0" applyFont="1" applyFill="1" applyBorder="1" applyAlignment="1">
      <alignment horizontal="left" wrapText="1"/>
    </xf>
    <xf numFmtId="0" fontId="95" fillId="0" borderId="22" xfId="0" applyFont="1" applyBorder="1" applyAlignment="1">
      <alignment horizontal="center"/>
    </xf>
    <xf numFmtId="0" fontId="95" fillId="0" borderId="15" xfId="0" applyFont="1" applyBorder="1" applyAlignment="1">
      <alignment horizontal="left" wrapText="1"/>
    </xf>
    <xf numFmtId="0" fontId="95" fillId="0" borderId="22" xfId="0" applyFont="1" applyBorder="1" applyAlignment="1">
      <alignment horizontal="left" wrapText="1"/>
    </xf>
    <xf numFmtId="0" fontId="95" fillId="0" borderId="0" xfId="0" applyFont="1" applyAlignment="1">
      <alignment horizontal="left" vertical="center" wrapText="1"/>
    </xf>
    <xf numFmtId="0" fontId="95" fillId="0" borderId="15" xfId="0" applyFont="1" applyBorder="1" applyAlignment="1">
      <alignment horizontal="left" vertical="top" wrapText="1"/>
    </xf>
    <xf numFmtId="0" fontId="95" fillId="0" borderId="15" xfId="0" applyFont="1" applyBorder="1" applyAlignment="1">
      <alignment horizontal="center"/>
    </xf>
    <xf numFmtId="0" fontId="95" fillId="36" borderId="15" xfId="0" applyFont="1" applyFill="1" applyBorder="1" applyAlignment="1">
      <alignment horizontal="left" wrapText="1"/>
    </xf>
    <xf numFmtId="0" fontId="9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08" fillId="0" borderId="33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124" fillId="0" borderId="15" xfId="0" applyFont="1" applyBorder="1" applyAlignment="1">
      <alignment horizontal="center" vertical="top"/>
    </xf>
    <xf numFmtId="0" fontId="111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08" fillId="0" borderId="10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wrapText="1"/>
    </xf>
    <xf numFmtId="0" fontId="103" fillId="0" borderId="31" xfId="0" applyFont="1" applyBorder="1" applyAlignment="1">
      <alignment wrapText="1"/>
    </xf>
    <xf numFmtId="0" fontId="103" fillId="0" borderId="23" xfId="0" applyFont="1" applyBorder="1" applyAlignment="1">
      <alignment wrapText="1"/>
    </xf>
    <xf numFmtId="0" fontId="95" fillId="0" borderId="1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10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8" fillId="0" borderId="25" xfId="0" applyFont="1" applyBorder="1" applyAlignment="1">
      <alignment horizontal="center" vertical="center" wrapText="1"/>
    </xf>
    <xf numFmtId="0" fontId="118" fillId="0" borderId="31" xfId="0" applyFont="1" applyBorder="1" applyAlignment="1">
      <alignment horizontal="center" vertical="center" wrapText="1"/>
    </xf>
    <xf numFmtId="0" fontId="118" fillId="0" borderId="23" xfId="0" applyFont="1" applyBorder="1" applyAlignment="1">
      <alignment horizontal="center" vertical="center" wrapText="1"/>
    </xf>
    <xf numFmtId="0" fontId="118" fillId="0" borderId="35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18" fillId="0" borderId="37" xfId="0" applyFont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16" fillId="0" borderId="31" xfId="0" applyFont="1" applyBorder="1" applyAlignment="1">
      <alignment horizontal="center" vertical="center" wrapText="1"/>
    </xf>
    <xf numFmtId="0" fontId="116" fillId="0" borderId="23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left" vertical="center" wrapText="1"/>
    </xf>
    <xf numFmtId="0" fontId="127" fillId="0" borderId="10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0" fontId="116" fillId="0" borderId="31" xfId="0" applyFont="1" applyBorder="1" applyAlignment="1">
      <alignment wrapText="1"/>
    </xf>
    <xf numFmtId="0" fontId="116" fillId="0" borderId="23" xfId="0" applyFont="1" applyBorder="1" applyAlignment="1">
      <alignment wrapText="1"/>
    </xf>
    <xf numFmtId="0" fontId="120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0" fontId="118" fillId="0" borderId="33" xfId="0" applyFont="1" applyBorder="1" applyAlignment="1">
      <alignment horizontal="center" vertical="center" wrapText="1"/>
    </xf>
    <xf numFmtId="0" fontId="118" fillId="0" borderId="22" xfId="0" applyFont="1" applyBorder="1" applyAlignment="1">
      <alignment horizontal="center" vertical="center" wrapText="1"/>
    </xf>
    <xf numFmtId="0" fontId="118" fillId="0" borderId="34" xfId="0" applyFont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102" fillId="0" borderId="33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34" xfId="0" applyFont="1" applyBorder="1" applyAlignment="1">
      <alignment horizontal="center" vertical="center" wrapText="1"/>
    </xf>
    <xf numFmtId="0" fontId="102" fillId="0" borderId="35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4" fillId="0" borderId="3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38" xfId="0" applyFont="1" applyBorder="1" applyAlignment="1">
      <alignment horizontal="center" vertical="center"/>
    </xf>
    <xf numFmtId="0" fontId="104" fillId="0" borderId="37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/>
    </xf>
    <xf numFmtId="0" fontId="111" fillId="0" borderId="0" xfId="0" applyFont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25" fillId="0" borderId="0" xfId="0" applyFont="1" applyAlignment="1">
      <alignment horizontal="center" wrapText="1"/>
    </xf>
    <xf numFmtId="0" fontId="95" fillId="0" borderId="2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/>
    </xf>
    <xf numFmtId="0" fontId="3" fillId="0" borderId="0" xfId="86" applyFont="1" applyAlignment="1">
      <alignment horizontal="center" wrapText="1"/>
      <protection/>
    </xf>
    <xf numFmtId="0" fontId="13" fillId="0" borderId="0" xfId="86" applyFont="1" applyAlignment="1">
      <alignment horizontal="center" wrapText="1"/>
      <protection/>
    </xf>
    <xf numFmtId="0" fontId="96" fillId="0" borderId="15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wrapText="1"/>
    </xf>
    <xf numFmtId="0" fontId="29" fillId="0" borderId="19" xfId="86" applyFont="1" applyBorder="1" applyAlignment="1">
      <alignment horizontal="center" vertical="center" wrapText="1"/>
      <protection/>
    </xf>
    <xf numFmtId="0" fontId="29" fillId="0" borderId="40" xfId="86" applyFont="1" applyBorder="1" applyAlignment="1">
      <alignment horizontal="center" vertical="center" wrapText="1"/>
      <protection/>
    </xf>
    <xf numFmtId="0" fontId="29" fillId="0" borderId="41" xfId="86" applyFont="1" applyBorder="1" applyAlignment="1">
      <alignment horizontal="center" vertical="center" wrapText="1"/>
      <protection/>
    </xf>
    <xf numFmtId="0" fontId="29" fillId="0" borderId="42" xfId="86" applyFont="1" applyBorder="1" applyAlignment="1">
      <alignment horizontal="center" vertical="center" wrapText="1"/>
      <protection/>
    </xf>
    <xf numFmtId="0" fontId="29" fillId="0" borderId="43" xfId="86" applyFont="1" applyBorder="1" applyAlignment="1">
      <alignment horizontal="center" vertical="center" wrapText="1"/>
      <protection/>
    </xf>
    <xf numFmtId="0" fontId="29" fillId="0" borderId="44" xfId="86" applyFont="1" applyBorder="1" applyAlignment="1">
      <alignment horizontal="center" vertical="center" wrapText="1"/>
      <protection/>
    </xf>
    <xf numFmtId="0" fontId="29" fillId="0" borderId="45" xfId="86" applyFont="1" applyBorder="1" applyAlignment="1">
      <alignment horizontal="center" vertical="center" wrapText="1"/>
      <protection/>
    </xf>
    <xf numFmtId="0" fontId="29" fillId="0" borderId="25" xfId="86" applyFont="1" applyBorder="1" applyAlignment="1">
      <alignment horizontal="center" vertical="center" wrapText="1"/>
      <protection/>
    </xf>
    <xf numFmtId="0" fontId="29" fillId="0" borderId="31" xfId="86" applyFont="1" applyBorder="1" applyAlignment="1">
      <alignment horizontal="center" vertical="center" wrapText="1"/>
      <protection/>
    </xf>
    <xf numFmtId="0" fontId="13" fillId="0" borderId="10" xfId="86" applyFont="1" applyBorder="1" applyAlignment="1">
      <alignment horizontal="justify" vertical="top" wrapText="1"/>
      <protection/>
    </xf>
    <xf numFmtId="0" fontId="107" fillId="0" borderId="0" xfId="0" applyFont="1" applyAlignment="1">
      <alignment horizontal="center" wrapText="1"/>
    </xf>
    <xf numFmtId="0" fontId="96" fillId="0" borderId="15" xfId="0" applyFont="1" applyBorder="1" applyAlignment="1">
      <alignment horizontal="center" wrapText="1"/>
    </xf>
    <xf numFmtId="0" fontId="94" fillId="0" borderId="21" xfId="0" applyFont="1" applyBorder="1" applyAlignment="1">
      <alignment horizontal="center" vertical="top" wrapText="1"/>
    </xf>
    <xf numFmtId="0" fontId="115" fillId="0" borderId="15" xfId="0" applyFont="1" applyBorder="1" applyAlignment="1">
      <alignment horizontal="center" wrapText="1"/>
    </xf>
    <xf numFmtId="0" fontId="94" fillId="0" borderId="0" xfId="0" applyFont="1" applyAlignment="1">
      <alignment horizontal="center" vertical="top" wrapText="1"/>
    </xf>
    <xf numFmtId="0" fontId="110" fillId="0" borderId="0" xfId="0" applyFont="1" applyAlignment="1">
      <alignment horizontal="center" vertical="top" wrapText="1"/>
    </xf>
    <xf numFmtId="0" fontId="95" fillId="0" borderId="18" xfId="0" applyFont="1" applyBorder="1" applyAlignment="1">
      <alignment horizontal="justify" vertical="center" wrapText="1"/>
    </xf>
    <xf numFmtId="0" fontId="95" fillId="0" borderId="17" xfId="0" applyFont="1" applyBorder="1" applyAlignment="1">
      <alignment horizontal="justify" vertical="center" wrapText="1"/>
    </xf>
    <xf numFmtId="0" fontId="95" fillId="0" borderId="18" xfId="0" applyFont="1" applyBorder="1" applyAlignment="1">
      <alignment horizontal="left" vertical="center" wrapText="1"/>
    </xf>
    <xf numFmtId="0" fontId="95" fillId="0" borderId="17" xfId="0" applyFont="1" applyBorder="1" applyAlignment="1">
      <alignment horizontal="left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 wrapText="1"/>
    </xf>
    <xf numFmtId="0" fontId="108" fillId="0" borderId="15" xfId="0" applyFont="1" applyBorder="1" applyAlignment="1">
      <alignment horizontal="center"/>
    </xf>
    <xf numFmtId="0" fontId="108" fillId="0" borderId="15" xfId="0" applyFont="1" applyBorder="1" applyAlignment="1">
      <alignment horizontal="center" wrapText="1"/>
    </xf>
    <xf numFmtId="0" fontId="95" fillId="0" borderId="46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top" wrapText="1"/>
    </xf>
    <xf numFmtId="0" fontId="115" fillId="0" borderId="0" xfId="0" applyFont="1" applyAlignment="1">
      <alignment horizontal="center" wrapText="1"/>
    </xf>
    <xf numFmtId="0" fontId="94" fillId="0" borderId="0" xfId="0" applyFont="1" applyBorder="1" applyAlignment="1">
      <alignment horizontal="center" wrapText="1"/>
    </xf>
    <xf numFmtId="0" fontId="96" fillId="0" borderId="33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96" fillId="0" borderId="13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94" fillId="0" borderId="0" xfId="0" applyFont="1" applyBorder="1" applyAlignment="1">
      <alignment horizontal="center" vertical="top" wrapText="1"/>
    </xf>
    <xf numFmtId="0" fontId="29" fillId="13" borderId="0" xfId="86" applyFont="1" applyFill="1" applyAlignment="1">
      <alignment horizontal="left" vertical="top" wrapText="1"/>
      <protection/>
    </xf>
    <xf numFmtId="0" fontId="109" fillId="0" borderId="21" xfId="0" applyFont="1" applyBorder="1" applyAlignment="1">
      <alignment horizontal="center" vertical="top" wrapText="1"/>
    </xf>
    <xf numFmtId="0" fontId="107" fillId="0" borderId="15" xfId="0" applyFont="1" applyBorder="1" applyAlignment="1">
      <alignment horizont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8" xfId="41"/>
    <cellStyle name="S19" xfId="42"/>
    <cellStyle name="S2" xfId="43"/>
    <cellStyle name="S20" xfId="44"/>
    <cellStyle name="S21" xfId="45"/>
    <cellStyle name="S22" xfId="46"/>
    <cellStyle name="S23" xfId="47"/>
    <cellStyle name="S24" xfId="48"/>
    <cellStyle name="S26" xfId="49"/>
    <cellStyle name="S27" xfId="50"/>
    <cellStyle name="S28" xfId="51"/>
    <cellStyle name="S29" xfId="52"/>
    <cellStyle name="S3" xfId="53"/>
    <cellStyle name="S30" xfId="54"/>
    <cellStyle name="S31" xfId="55"/>
    <cellStyle name="S32" xfId="56"/>
    <cellStyle name="S35" xfId="57"/>
    <cellStyle name="S4" xfId="58"/>
    <cellStyle name="S40" xfId="59"/>
    <cellStyle name="S41" xfId="60"/>
    <cellStyle name="S42" xfId="61"/>
    <cellStyle name="S5" xfId="62"/>
    <cellStyle name="S6" xfId="63"/>
    <cellStyle name="S7" xfId="64"/>
    <cellStyle name="S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 2 3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view="pageBreakPreview" zoomScale="60" zoomScalePageLayoutView="0" workbookViewId="0" topLeftCell="A1">
      <selection activeCell="H23" sqref="H23:H26"/>
    </sheetView>
  </sheetViews>
  <sheetFormatPr defaultColWidth="9.140625" defaultRowHeight="15"/>
  <cols>
    <col min="1" max="1" width="46.00390625" style="0" customWidth="1"/>
    <col min="2" max="2" width="6.7109375" style="0" customWidth="1"/>
    <col min="3" max="3" width="22.7109375" style="0" customWidth="1"/>
    <col min="4" max="4" width="8.421875" style="0" customWidth="1"/>
    <col min="5" max="5" width="23.00390625" style="0" customWidth="1"/>
    <col min="6" max="6" width="25.140625" style="0" customWidth="1"/>
    <col min="7" max="7" width="27.00390625" style="0" customWidth="1"/>
    <col min="8" max="8" width="28.00390625" style="0" customWidth="1"/>
  </cols>
  <sheetData>
    <row r="1" spans="1:8" s="1" customFormat="1" ht="18">
      <c r="A1" s="3"/>
      <c r="B1" s="3"/>
      <c r="C1" s="3"/>
      <c r="D1" s="4"/>
      <c r="E1" s="4"/>
      <c r="F1" s="4"/>
      <c r="G1" s="3"/>
      <c r="H1" s="4"/>
    </row>
    <row r="2" spans="1:8" s="1" customFormat="1" ht="18">
      <c r="A2" s="3"/>
      <c r="B2" s="3"/>
      <c r="C2" s="3"/>
      <c r="D2" s="54"/>
      <c r="E2" s="511"/>
      <c r="F2" s="511"/>
      <c r="G2" s="511"/>
      <c r="H2" s="511"/>
    </row>
    <row r="3" spans="1:8" s="1" customFormat="1" ht="18">
      <c r="A3" s="3"/>
      <c r="B3" s="3"/>
      <c r="C3" s="3"/>
      <c r="D3" s="511"/>
      <c r="E3" s="511"/>
      <c r="F3" s="511"/>
      <c r="G3" s="511"/>
      <c r="H3" s="511"/>
    </row>
    <row r="4" spans="1:8" s="1" customFormat="1" ht="18">
      <c r="A4" s="3"/>
      <c r="B4" s="3"/>
      <c r="C4" s="3"/>
      <c r="D4" s="54"/>
      <c r="E4" s="511"/>
      <c r="F4" s="511"/>
      <c r="G4" s="511"/>
      <c r="H4" s="511"/>
    </row>
    <row r="5" spans="1:8" s="1" customFormat="1" ht="45" customHeight="1">
      <c r="A5" s="55" t="s">
        <v>24</v>
      </c>
      <c r="B5" s="3"/>
      <c r="C5" s="3"/>
      <c r="D5" s="3"/>
      <c r="E5" s="3"/>
      <c r="F5" s="518" t="s">
        <v>28</v>
      </c>
      <c r="G5" s="518"/>
      <c r="H5" s="519"/>
    </row>
    <row r="6" spans="1:9" s="1" customFormat="1" ht="78.75" customHeight="1">
      <c r="A6" s="56" t="s">
        <v>513</v>
      </c>
      <c r="B6" s="3"/>
      <c r="C6" s="3" t="s">
        <v>12</v>
      </c>
      <c r="D6" s="57"/>
      <c r="E6" s="57"/>
      <c r="F6" s="57"/>
      <c r="G6" s="510" t="s">
        <v>586</v>
      </c>
      <c r="H6" s="510"/>
      <c r="I6" s="378"/>
    </row>
    <row r="7" spans="1:8" s="36" customFormat="1" ht="45.75" customHeight="1">
      <c r="A7" s="66" t="s">
        <v>137</v>
      </c>
      <c r="C7" s="65"/>
      <c r="D7" s="512" t="s">
        <v>135</v>
      </c>
      <c r="E7" s="512"/>
      <c r="F7" s="512"/>
      <c r="G7" s="512"/>
      <c r="H7" s="512"/>
    </row>
    <row r="8" spans="1:9" s="1" customFormat="1" ht="18">
      <c r="A8" s="3" t="s">
        <v>514</v>
      </c>
      <c r="B8" s="3"/>
      <c r="C8" s="3"/>
      <c r="D8" s="57"/>
      <c r="E8" s="57"/>
      <c r="F8" s="208" t="s">
        <v>420</v>
      </c>
      <c r="G8" s="209" t="s">
        <v>401</v>
      </c>
      <c r="H8" s="56" t="s">
        <v>587</v>
      </c>
      <c r="I8" s="5"/>
    </row>
    <row r="9" spans="1:8" s="36" customFormat="1" ht="14.25" customHeight="1">
      <c r="A9" s="36" t="s">
        <v>422</v>
      </c>
      <c r="D9" s="64"/>
      <c r="E9" s="65"/>
      <c r="F9" s="65"/>
      <c r="G9" s="65" t="s">
        <v>421</v>
      </c>
      <c r="H9" s="65" t="s">
        <v>30</v>
      </c>
    </row>
    <row r="10" spans="1:8" s="1" customFormat="1" ht="18">
      <c r="A10" s="3" t="s">
        <v>23</v>
      </c>
      <c r="B10" s="3"/>
      <c r="C10" s="3"/>
      <c r="D10" s="57"/>
      <c r="E10" s="57"/>
      <c r="F10" s="57"/>
      <c r="G10" s="57" t="s">
        <v>23</v>
      </c>
      <c r="H10" s="57"/>
    </row>
    <row r="11" spans="1:8" s="1" customFormat="1" ht="22.5" customHeight="1">
      <c r="A11" s="3" t="s">
        <v>143</v>
      </c>
      <c r="B11" s="3"/>
      <c r="C11" s="3"/>
      <c r="D11" s="516"/>
      <c r="E11" s="517"/>
      <c r="F11" s="517"/>
      <c r="G11" s="3" t="s">
        <v>143</v>
      </c>
      <c r="H11" s="57"/>
    </row>
    <row r="12" spans="1:8" s="1" customFormat="1" ht="14.25" customHeight="1">
      <c r="A12" s="3"/>
      <c r="B12" s="3"/>
      <c r="C12" s="3"/>
      <c r="D12" s="3"/>
      <c r="E12" s="520"/>
      <c r="F12" s="520"/>
      <c r="G12" s="521"/>
      <c r="H12" s="521"/>
    </row>
    <row r="13" spans="1:8" s="1" customFormat="1" ht="18">
      <c r="A13" s="3"/>
      <c r="B13" s="522" t="s">
        <v>10</v>
      </c>
      <c r="C13" s="522"/>
      <c r="D13" s="522"/>
      <c r="E13" s="522"/>
      <c r="F13" s="522"/>
      <c r="G13" s="3"/>
      <c r="H13" s="3"/>
    </row>
    <row r="14" spans="1:8" s="1" customFormat="1" ht="18">
      <c r="A14" s="3"/>
      <c r="B14" s="522" t="s">
        <v>417</v>
      </c>
      <c r="C14" s="522"/>
      <c r="D14" s="522"/>
      <c r="E14" s="522"/>
      <c r="F14" s="522"/>
      <c r="G14" s="3"/>
      <c r="H14" s="3"/>
    </row>
    <row r="15" spans="1:8" s="1" customFormat="1" ht="18">
      <c r="A15" s="3"/>
      <c r="B15" s="522" t="s">
        <v>674</v>
      </c>
      <c r="C15" s="522"/>
      <c r="D15" s="522"/>
      <c r="E15" s="522"/>
      <c r="F15" s="522"/>
      <c r="G15" s="3"/>
      <c r="H15" s="3"/>
    </row>
    <row r="16" spans="1:8" s="1" customFormat="1" ht="18">
      <c r="A16" s="3"/>
      <c r="B16" s="523" t="s">
        <v>412</v>
      </c>
      <c r="C16" s="524"/>
      <c r="D16" s="524"/>
      <c r="E16" s="524"/>
      <c r="F16" s="524"/>
      <c r="G16" s="3"/>
      <c r="H16" s="60"/>
    </row>
    <row r="17" spans="1:8" s="1" customFormat="1" ht="22.5" customHeight="1">
      <c r="A17" s="514" t="s">
        <v>139</v>
      </c>
      <c r="B17" s="515" t="s">
        <v>671</v>
      </c>
      <c r="C17" s="515"/>
      <c r="D17" s="515"/>
      <c r="E17" s="515"/>
      <c r="F17" s="515"/>
      <c r="G17" s="3"/>
      <c r="H17" s="203" t="s">
        <v>409</v>
      </c>
    </row>
    <row r="18" spans="1:8" s="1" customFormat="1" ht="18">
      <c r="A18" s="514"/>
      <c r="B18" s="515"/>
      <c r="C18" s="515"/>
      <c r="D18" s="515"/>
      <c r="E18" s="515"/>
      <c r="F18" s="515"/>
      <c r="G18" s="197" t="s">
        <v>410</v>
      </c>
      <c r="H18" s="203"/>
    </row>
    <row r="19" spans="1:8" s="1" customFormat="1" ht="18" customHeight="1" thickBot="1">
      <c r="A19" s="514"/>
      <c r="B19" s="515"/>
      <c r="C19" s="515"/>
      <c r="D19" s="515"/>
      <c r="E19" s="515"/>
      <c r="F19" s="515"/>
      <c r="G19" s="197" t="s">
        <v>0</v>
      </c>
      <c r="H19" s="402"/>
    </row>
    <row r="20" spans="1:10" s="1" customFormat="1" ht="40.5" customHeight="1" hidden="1">
      <c r="A20" s="3"/>
      <c r="B20" s="3"/>
      <c r="C20" s="3"/>
      <c r="D20" s="3"/>
      <c r="E20" s="3"/>
      <c r="F20" s="3"/>
      <c r="G20" s="197"/>
      <c r="H20" s="183"/>
      <c r="I20" s="514"/>
      <c r="J20" s="513"/>
    </row>
    <row r="21" spans="1:10" s="1" customFormat="1" ht="18" hidden="1" thickBot="1">
      <c r="A21" s="3" t="s">
        <v>6</v>
      </c>
      <c r="B21" s="3" t="s">
        <v>11</v>
      </c>
      <c r="C21" s="529"/>
      <c r="D21" s="530"/>
      <c r="E21" s="3" t="s">
        <v>27</v>
      </c>
      <c r="F21" s="63"/>
      <c r="G21" s="207"/>
      <c r="H21" s="199"/>
      <c r="I21" s="514"/>
      <c r="J21" s="513"/>
    </row>
    <row r="22" spans="1:10" s="1" customFormat="1" ht="18" hidden="1" thickBot="1">
      <c r="A22" s="3"/>
      <c r="B22" s="3"/>
      <c r="C22" s="3"/>
      <c r="D22" s="3"/>
      <c r="E22" s="3"/>
      <c r="F22" s="3"/>
      <c r="G22" s="197"/>
      <c r="H22" s="183"/>
      <c r="I22" s="514"/>
      <c r="J22" s="513"/>
    </row>
    <row r="23" spans="1:10" s="1" customFormat="1" ht="18" thickBot="1">
      <c r="A23" s="3" t="s">
        <v>6</v>
      </c>
      <c r="B23" s="3"/>
      <c r="C23" s="229" t="s">
        <v>672</v>
      </c>
      <c r="D23" s="57"/>
      <c r="E23" s="229" t="s">
        <v>673</v>
      </c>
      <c r="F23" s="3"/>
      <c r="G23" s="197" t="s">
        <v>418</v>
      </c>
      <c r="H23" s="62">
        <v>55964848</v>
      </c>
      <c r="I23" s="514"/>
      <c r="J23" s="513"/>
    </row>
    <row r="24" spans="1:10" s="1" customFormat="1" ht="27" customHeight="1">
      <c r="A24" s="525" t="s">
        <v>5</v>
      </c>
      <c r="B24" s="526" t="s">
        <v>140</v>
      </c>
      <c r="C24" s="526"/>
      <c r="D24" s="526"/>
      <c r="E24" s="526"/>
      <c r="F24" s="526"/>
      <c r="G24" s="197" t="s">
        <v>414</v>
      </c>
      <c r="H24" s="403"/>
      <c r="I24" s="514"/>
      <c r="J24" s="513"/>
    </row>
    <row r="25" spans="1:8" s="1" customFormat="1" ht="22.5" customHeight="1">
      <c r="A25" s="525"/>
      <c r="B25" s="527"/>
      <c r="C25" s="527"/>
      <c r="D25" s="527"/>
      <c r="E25" s="527"/>
      <c r="F25" s="527"/>
      <c r="G25" s="197" t="s">
        <v>411</v>
      </c>
      <c r="H25" s="403"/>
    </row>
    <row r="26" spans="1:8" s="1" customFormat="1" ht="24.75" customHeight="1">
      <c r="A26" s="3" t="s">
        <v>4</v>
      </c>
      <c r="B26" s="528" t="s">
        <v>675</v>
      </c>
      <c r="C26" s="528"/>
      <c r="D26" s="528"/>
      <c r="E26" s="528"/>
      <c r="F26" s="528"/>
      <c r="G26" s="197" t="s">
        <v>419</v>
      </c>
      <c r="H26" s="62">
        <v>3628416</v>
      </c>
    </row>
    <row r="27" spans="1:8" s="1" customFormat="1" ht="24.75" customHeight="1">
      <c r="A27" s="3"/>
      <c r="B27" s="196"/>
      <c r="C27" s="196"/>
      <c r="D27" s="196"/>
      <c r="E27" s="196"/>
      <c r="F27" s="196"/>
      <c r="G27" s="197" t="s">
        <v>1</v>
      </c>
      <c r="H27" s="403"/>
    </row>
    <row r="28" spans="1:8" s="1" customFormat="1" ht="15" customHeight="1">
      <c r="A28" s="525" t="s">
        <v>142</v>
      </c>
      <c r="B28" s="525"/>
      <c r="C28" s="525"/>
      <c r="D28" s="525"/>
      <c r="E28" s="525"/>
      <c r="F28" s="525"/>
      <c r="G28" s="197" t="s">
        <v>2</v>
      </c>
      <c r="H28" s="404">
        <v>383</v>
      </c>
    </row>
    <row r="29" spans="1:8" s="1" customFormat="1" ht="15" customHeight="1">
      <c r="A29" s="525"/>
      <c r="B29" s="525"/>
      <c r="C29" s="525"/>
      <c r="D29" s="525"/>
      <c r="E29" s="525"/>
      <c r="F29" s="525"/>
      <c r="G29" s="197" t="s">
        <v>3</v>
      </c>
      <c r="H29" s="403"/>
    </row>
    <row r="30" spans="7:8" s="1" customFormat="1" ht="18" customHeight="1">
      <c r="G30" s="197"/>
      <c r="H30" s="205"/>
    </row>
    <row r="31" s="1" customFormat="1" ht="15"/>
    <row r="32" s="1" customFormat="1" ht="15"/>
    <row r="33" spans="7:8" ht="15">
      <c r="G33" s="1"/>
      <c r="H33" s="1"/>
    </row>
  </sheetData>
  <sheetProtection/>
  <mergeCells count="23">
    <mergeCell ref="A24:A25"/>
    <mergeCell ref="B24:F25"/>
    <mergeCell ref="B26:F26"/>
    <mergeCell ref="A29:F29"/>
    <mergeCell ref="C21:D21"/>
    <mergeCell ref="A28:F28"/>
    <mergeCell ref="E12:F12"/>
    <mergeCell ref="G12:H12"/>
    <mergeCell ref="B13:F13"/>
    <mergeCell ref="B14:F14"/>
    <mergeCell ref="B15:F15"/>
    <mergeCell ref="A17:A19"/>
    <mergeCell ref="B16:F16"/>
    <mergeCell ref="G6:H6"/>
    <mergeCell ref="E2:H2"/>
    <mergeCell ref="D3:H3"/>
    <mergeCell ref="E4:H4"/>
    <mergeCell ref="D7:H7"/>
    <mergeCell ref="J20:J24"/>
    <mergeCell ref="I20:I24"/>
    <mergeCell ref="B17:F19"/>
    <mergeCell ref="D11:F11"/>
    <mergeCell ref="F5:H5"/>
  </mergeCells>
  <printOptions/>
  <pageMargins left="0.25" right="0.25" top="0.53" bottom="0.75" header="0.3" footer="0.3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99"/>
  <sheetViews>
    <sheetView showZeros="0" view="pageBreakPreview" zoomScale="60" zoomScaleNormal="62" zoomScalePageLayoutView="0" workbookViewId="0" topLeftCell="A73">
      <selection activeCell="G94" sqref="G94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12.140625" style="6" customWidth="1"/>
    <col min="4" max="4" width="26.28125" style="25" customWidth="1"/>
    <col min="5" max="5" width="20.8515625" style="6" customWidth="1"/>
    <col min="6" max="6" width="22.7109375" style="6" customWidth="1"/>
    <col min="7" max="7" width="17.8515625" style="6" customWidth="1"/>
    <col min="8" max="8" width="12.7109375" style="6" customWidth="1"/>
    <col min="9" max="9" width="19.421875" style="6" customWidth="1"/>
    <col min="10" max="10" width="28.7109375" style="6" customWidth="1"/>
    <col min="11" max="11" width="11.57421875" style="6" customWidth="1"/>
    <col min="12" max="13" width="9.140625" style="6" customWidth="1"/>
    <col min="14" max="15" width="9.140625" style="26" customWidth="1"/>
    <col min="16" max="16" width="32.7109375" style="285" customWidth="1"/>
    <col min="17" max="17" width="9.140625" style="26" customWidth="1"/>
    <col min="18" max="18" width="24.7109375" style="285" customWidth="1"/>
    <col min="19" max="21" width="18.421875" style="285" customWidth="1"/>
    <col min="22" max="23" width="18.421875" style="283" customWidth="1"/>
    <col min="24" max="16384" width="9.140625" style="6" customWidth="1"/>
  </cols>
  <sheetData>
    <row r="1" spans="1:11" ht="21">
      <c r="A1" s="14"/>
      <c r="D1" s="6"/>
      <c r="K1" s="11" t="s">
        <v>133</v>
      </c>
    </row>
    <row r="2" ht="21">
      <c r="A2" s="19"/>
    </row>
    <row r="3" ht="21">
      <c r="A3" s="20"/>
    </row>
    <row r="4" spans="1:11" ht="21">
      <c r="A4" s="576" t="s">
        <v>96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</row>
    <row r="5" spans="1:11" ht="21">
      <c r="A5" s="493"/>
      <c r="B5" s="493"/>
      <c r="C5" s="493"/>
      <c r="D5" s="498"/>
      <c r="E5" s="489" t="s">
        <v>716</v>
      </c>
      <c r="F5" s="489"/>
      <c r="G5" s="498"/>
      <c r="H5" s="493"/>
      <c r="I5" s="493"/>
      <c r="J5" s="493"/>
      <c r="K5" s="493"/>
    </row>
    <row r="6" spans="1:11" ht="21">
      <c r="A6" s="493"/>
      <c r="B6" s="493"/>
      <c r="C6" s="493"/>
      <c r="D6" s="493"/>
      <c r="E6" s="492" t="s">
        <v>344</v>
      </c>
      <c r="F6" s="492"/>
      <c r="G6" s="493"/>
      <c r="H6" s="493"/>
      <c r="I6" s="493"/>
      <c r="J6" s="493"/>
      <c r="K6" s="493"/>
    </row>
    <row r="7" spans="1:11" ht="21">
      <c r="A7" s="577" t="s">
        <v>750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7" ht="17.25" customHeight="1">
      <c r="A8" s="20"/>
      <c r="D8" s="575"/>
      <c r="E8" s="575"/>
      <c r="F8" s="575"/>
      <c r="G8" s="575"/>
    </row>
    <row r="9" spans="1:11" ht="21">
      <c r="A9" s="578" t="s">
        <v>20</v>
      </c>
      <c r="B9" s="579" t="s">
        <v>56</v>
      </c>
      <c r="C9" s="580" t="s">
        <v>72</v>
      </c>
      <c r="D9" s="559" t="s">
        <v>74</v>
      </c>
      <c r="E9" s="560"/>
      <c r="F9" s="560"/>
      <c r="G9" s="560"/>
      <c r="H9" s="560"/>
      <c r="I9" s="560"/>
      <c r="J9" s="560"/>
      <c r="K9" s="561"/>
    </row>
    <row r="10" spans="1:11" ht="21">
      <c r="A10" s="578"/>
      <c r="B10" s="579"/>
      <c r="C10" s="581"/>
      <c r="D10" s="562" t="s">
        <v>95</v>
      </c>
      <c r="E10" s="563" t="s">
        <v>21</v>
      </c>
      <c r="F10" s="564"/>
      <c r="G10" s="564"/>
      <c r="H10" s="564"/>
      <c r="I10" s="564"/>
      <c r="J10" s="564"/>
      <c r="K10" s="565"/>
    </row>
    <row r="11" spans="1:11" ht="21">
      <c r="A11" s="578"/>
      <c r="B11" s="579"/>
      <c r="C11" s="581"/>
      <c r="D11" s="562"/>
      <c r="E11" s="566" t="s">
        <v>73</v>
      </c>
      <c r="F11" s="566" t="s">
        <v>559</v>
      </c>
      <c r="G11" s="569" t="s">
        <v>75</v>
      </c>
      <c r="H11" s="566" t="s">
        <v>76</v>
      </c>
      <c r="I11" s="566" t="s">
        <v>77</v>
      </c>
      <c r="J11" s="569" t="s">
        <v>78</v>
      </c>
      <c r="K11" s="572"/>
    </row>
    <row r="12" spans="1:11" ht="15" customHeight="1">
      <c r="A12" s="578"/>
      <c r="B12" s="579"/>
      <c r="C12" s="581"/>
      <c r="D12" s="562"/>
      <c r="E12" s="567"/>
      <c r="F12" s="567"/>
      <c r="G12" s="570"/>
      <c r="H12" s="567"/>
      <c r="I12" s="567"/>
      <c r="J12" s="570"/>
      <c r="K12" s="573"/>
    </row>
    <row r="13" spans="1:11" ht="15" customHeight="1">
      <c r="A13" s="578"/>
      <c r="B13" s="579"/>
      <c r="C13" s="581"/>
      <c r="D13" s="562"/>
      <c r="E13" s="567"/>
      <c r="F13" s="567"/>
      <c r="G13" s="570"/>
      <c r="H13" s="567"/>
      <c r="I13" s="567"/>
      <c r="J13" s="570"/>
      <c r="K13" s="573"/>
    </row>
    <row r="14" spans="1:11" ht="21">
      <c r="A14" s="578"/>
      <c r="B14" s="579"/>
      <c r="C14" s="581"/>
      <c r="D14" s="562"/>
      <c r="E14" s="567"/>
      <c r="F14" s="567"/>
      <c r="G14" s="570"/>
      <c r="H14" s="567"/>
      <c r="I14" s="567"/>
      <c r="J14" s="570"/>
      <c r="K14" s="573"/>
    </row>
    <row r="15" spans="1:11" ht="21">
      <c r="A15" s="578"/>
      <c r="B15" s="579"/>
      <c r="C15" s="581"/>
      <c r="D15" s="562"/>
      <c r="E15" s="567"/>
      <c r="F15" s="567"/>
      <c r="G15" s="570"/>
      <c r="H15" s="567"/>
      <c r="I15" s="567"/>
      <c r="J15" s="570"/>
      <c r="K15" s="573"/>
    </row>
    <row r="16" spans="1:11" ht="21">
      <c r="A16" s="578"/>
      <c r="B16" s="579"/>
      <c r="C16" s="581"/>
      <c r="D16" s="562"/>
      <c r="E16" s="567"/>
      <c r="F16" s="567"/>
      <c r="G16" s="570"/>
      <c r="H16" s="567"/>
      <c r="I16" s="567"/>
      <c r="J16" s="570"/>
      <c r="K16" s="573"/>
    </row>
    <row r="17" spans="1:11" ht="33.75" customHeight="1">
      <c r="A17" s="578"/>
      <c r="B17" s="579"/>
      <c r="C17" s="581"/>
      <c r="D17" s="562"/>
      <c r="E17" s="567"/>
      <c r="F17" s="567"/>
      <c r="G17" s="570"/>
      <c r="H17" s="567"/>
      <c r="I17" s="567"/>
      <c r="J17" s="571"/>
      <c r="K17" s="574"/>
    </row>
    <row r="18" spans="1:11" ht="70.5" customHeight="1">
      <c r="A18" s="578"/>
      <c r="B18" s="579"/>
      <c r="C18" s="582"/>
      <c r="D18" s="562"/>
      <c r="E18" s="568"/>
      <c r="F18" s="568"/>
      <c r="G18" s="571"/>
      <c r="H18" s="568"/>
      <c r="I18" s="568"/>
      <c r="J18" s="495" t="s">
        <v>57</v>
      </c>
      <c r="K18" s="495" t="s">
        <v>58</v>
      </c>
    </row>
    <row r="19" spans="1:23" s="153" customFormat="1" ht="21">
      <c r="A19" s="495">
        <v>1</v>
      </c>
      <c r="B19" s="495">
        <v>2</v>
      </c>
      <c r="C19" s="495">
        <v>3</v>
      </c>
      <c r="D19" s="495">
        <v>4</v>
      </c>
      <c r="E19" s="495">
        <v>5</v>
      </c>
      <c r="F19" s="495" t="s">
        <v>558</v>
      </c>
      <c r="G19" s="495">
        <v>6</v>
      </c>
      <c r="H19" s="495">
        <v>7</v>
      </c>
      <c r="I19" s="495">
        <v>8</v>
      </c>
      <c r="J19" s="495">
        <v>9</v>
      </c>
      <c r="K19" s="495">
        <v>10</v>
      </c>
      <c r="N19" s="303"/>
      <c r="O19" s="303"/>
      <c r="P19" s="285"/>
      <c r="Q19" s="303"/>
      <c r="R19" s="285"/>
      <c r="S19" s="285"/>
      <c r="T19" s="285"/>
      <c r="U19" s="285"/>
      <c r="V19" s="283"/>
      <c r="W19" s="283"/>
    </row>
    <row r="20" spans="1:23" s="25" customFormat="1" ht="34.5">
      <c r="A20" s="10" t="s">
        <v>79</v>
      </c>
      <c r="B20" s="27" t="s">
        <v>81</v>
      </c>
      <c r="C20" s="494" t="s">
        <v>60</v>
      </c>
      <c r="D20" s="28">
        <v>0</v>
      </c>
      <c r="E20" s="28">
        <v>0</v>
      </c>
      <c r="F20" s="28"/>
      <c r="G20" s="28">
        <v>0</v>
      </c>
      <c r="H20" s="28"/>
      <c r="I20" s="28">
        <v>0</v>
      </c>
      <c r="J20" s="28">
        <v>0</v>
      </c>
      <c r="K20" s="28"/>
      <c r="N20" s="216"/>
      <c r="O20" s="216"/>
      <c r="P20" s="304"/>
      <c r="Q20" s="216"/>
      <c r="R20" s="304"/>
      <c r="S20" s="304"/>
      <c r="T20" s="304"/>
      <c r="U20" s="304"/>
      <c r="V20" s="284"/>
      <c r="W20" s="284"/>
    </row>
    <row r="21" spans="1:11" ht="21">
      <c r="A21" s="10" t="s">
        <v>84</v>
      </c>
      <c r="B21" s="494">
        <v>100</v>
      </c>
      <c r="C21" s="494" t="s">
        <v>63</v>
      </c>
      <c r="D21" s="28">
        <f>E21+G21+H21+I21+J21</f>
        <v>38219480</v>
      </c>
      <c r="E21" s="28">
        <f aca="true" t="shared" si="0" ref="E21:K21">SUM(E22:E36)</f>
        <v>2404600</v>
      </c>
      <c r="F21" s="28"/>
      <c r="G21" s="28">
        <f t="shared" si="0"/>
        <v>278600</v>
      </c>
      <c r="H21" s="28">
        <f t="shared" si="0"/>
        <v>0</v>
      </c>
      <c r="I21" s="28">
        <f t="shared" si="0"/>
        <v>22260000</v>
      </c>
      <c r="J21" s="28">
        <f>SUM(J22:J36)</f>
        <v>13276280</v>
      </c>
      <c r="K21" s="28">
        <f t="shared" si="0"/>
        <v>0</v>
      </c>
    </row>
    <row r="22" spans="1:11" ht="54" hidden="1">
      <c r="A22" s="2" t="s">
        <v>61</v>
      </c>
      <c r="B22" s="22" t="s">
        <v>82</v>
      </c>
      <c r="C22" s="495">
        <v>180</v>
      </c>
      <c r="D22" s="28"/>
      <c r="E22" s="29"/>
      <c r="F22" s="29"/>
      <c r="G22" s="29"/>
      <c r="H22" s="29"/>
      <c r="I22" s="29"/>
      <c r="J22" s="29"/>
      <c r="K22" s="29"/>
    </row>
    <row r="23" spans="1:11" ht="108" hidden="1">
      <c r="A23" s="2" t="s">
        <v>62</v>
      </c>
      <c r="B23" s="22" t="s">
        <v>83</v>
      </c>
      <c r="C23" s="495">
        <v>130</v>
      </c>
      <c r="D23" s="28"/>
      <c r="E23" s="29"/>
      <c r="F23" s="29"/>
      <c r="G23" s="29"/>
      <c r="H23" s="29"/>
      <c r="I23" s="29"/>
      <c r="J23" s="29"/>
      <c r="K23" s="29"/>
    </row>
    <row r="24" spans="1:11" ht="21" hidden="1">
      <c r="A24" s="2" t="s">
        <v>306</v>
      </c>
      <c r="B24" s="495">
        <v>110</v>
      </c>
      <c r="C24" s="495">
        <v>120</v>
      </c>
      <c r="D24" s="28">
        <f aca="true" t="shared" si="1" ref="D24:D36">SUM(E24:J24)</f>
        <v>0</v>
      </c>
      <c r="E24" s="495" t="s">
        <v>63</v>
      </c>
      <c r="F24" s="495"/>
      <c r="G24" s="495" t="s">
        <v>63</v>
      </c>
      <c r="H24" s="495" t="s">
        <v>63</v>
      </c>
      <c r="I24" s="495" t="s">
        <v>63</v>
      </c>
      <c r="J24" s="495"/>
      <c r="K24" s="495" t="s">
        <v>63</v>
      </c>
    </row>
    <row r="25" spans="1:11" ht="72" hidden="1">
      <c r="A25" s="24" t="s">
        <v>85</v>
      </c>
      <c r="B25" s="495">
        <v>111</v>
      </c>
      <c r="C25" s="495">
        <v>120</v>
      </c>
      <c r="D25" s="28">
        <f t="shared" si="1"/>
        <v>0</v>
      </c>
      <c r="E25" s="495"/>
      <c r="F25" s="495"/>
      <c r="G25" s="495"/>
      <c r="H25" s="495"/>
      <c r="I25" s="495"/>
      <c r="J25" s="495"/>
      <c r="K25" s="495"/>
    </row>
    <row r="26" spans="1:11" ht="21" hidden="1">
      <c r="A26" s="24"/>
      <c r="B26" s="23"/>
      <c r="C26" s="23"/>
      <c r="D26" s="28">
        <f t="shared" si="1"/>
        <v>0</v>
      </c>
      <c r="E26" s="495"/>
      <c r="F26" s="495"/>
      <c r="G26" s="495"/>
      <c r="H26" s="495"/>
      <c r="I26" s="495"/>
      <c r="J26" s="495"/>
      <c r="K26" s="495"/>
    </row>
    <row r="27" spans="1:11" ht="36">
      <c r="A27" s="2" t="s">
        <v>86</v>
      </c>
      <c r="B27" s="495">
        <v>120</v>
      </c>
      <c r="C27" s="495">
        <v>130</v>
      </c>
      <c r="D27" s="28">
        <f t="shared" si="1"/>
        <v>37940880</v>
      </c>
      <c r="E27" s="290">
        <v>2404600</v>
      </c>
      <c r="F27" s="290"/>
      <c r="G27" s="495" t="s">
        <v>63</v>
      </c>
      <c r="H27" s="495" t="s">
        <v>63</v>
      </c>
      <c r="I27" s="290">
        <v>22260000</v>
      </c>
      <c r="J27" s="290">
        <v>13276280</v>
      </c>
      <c r="K27" s="495"/>
    </row>
    <row r="28" spans="1:11" ht="54" hidden="1">
      <c r="A28" s="2" t="s">
        <v>87</v>
      </c>
      <c r="B28" s="495">
        <v>130</v>
      </c>
      <c r="C28" s="495">
        <v>140</v>
      </c>
      <c r="D28" s="28">
        <f t="shared" si="1"/>
        <v>0</v>
      </c>
      <c r="E28" s="495" t="s">
        <v>63</v>
      </c>
      <c r="F28" s="495"/>
      <c r="G28" s="495" t="s">
        <v>63</v>
      </c>
      <c r="H28" s="495" t="s">
        <v>63</v>
      </c>
      <c r="I28" s="495" t="s">
        <v>63</v>
      </c>
      <c r="J28" s="495"/>
      <c r="K28" s="495" t="s">
        <v>63</v>
      </c>
    </row>
    <row r="29" spans="1:11" ht="99" customHeight="1" hidden="1">
      <c r="A29" s="2" t="s">
        <v>88</v>
      </c>
      <c r="B29" s="495">
        <v>140</v>
      </c>
      <c r="C29" s="495">
        <v>150</v>
      </c>
      <c r="D29" s="28">
        <f t="shared" si="1"/>
        <v>0</v>
      </c>
      <c r="E29" s="495" t="s">
        <v>63</v>
      </c>
      <c r="F29" s="495"/>
      <c r="G29" s="495" t="s">
        <v>63</v>
      </c>
      <c r="H29" s="495" t="s">
        <v>63</v>
      </c>
      <c r="I29" s="495" t="s">
        <v>63</v>
      </c>
      <c r="J29" s="495"/>
      <c r="K29" s="495" t="s">
        <v>63</v>
      </c>
    </row>
    <row r="30" spans="1:11" ht="36">
      <c r="A30" s="2" t="s">
        <v>89</v>
      </c>
      <c r="B30" s="495">
        <v>150</v>
      </c>
      <c r="C30" s="495">
        <v>180</v>
      </c>
      <c r="D30" s="28">
        <f t="shared" si="1"/>
        <v>278600</v>
      </c>
      <c r="E30" s="495" t="s">
        <v>63</v>
      </c>
      <c r="F30" s="495"/>
      <c r="G30" s="29">
        <v>278600</v>
      </c>
      <c r="H30" s="495"/>
      <c r="I30" s="495" t="s">
        <v>63</v>
      </c>
      <c r="J30" s="495" t="s">
        <v>63</v>
      </c>
      <c r="K30" s="495" t="s">
        <v>63</v>
      </c>
    </row>
    <row r="31" spans="1:11" ht="21" hidden="1">
      <c r="A31" s="2" t="s">
        <v>90</v>
      </c>
      <c r="B31" s="495">
        <v>160</v>
      </c>
      <c r="C31" s="495">
        <v>180</v>
      </c>
      <c r="D31" s="28">
        <f t="shared" si="1"/>
        <v>0</v>
      </c>
      <c r="E31" s="495" t="s">
        <v>63</v>
      </c>
      <c r="F31" s="495"/>
      <c r="G31" s="495" t="s">
        <v>63</v>
      </c>
      <c r="H31" s="495" t="s">
        <v>63</v>
      </c>
      <c r="I31" s="495" t="s">
        <v>63</v>
      </c>
      <c r="J31" s="495"/>
      <c r="K31" s="495"/>
    </row>
    <row r="32" spans="1:11" ht="49.5" customHeight="1" hidden="1">
      <c r="A32" s="2" t="s">
        <v>91</v>
      </c>
      <c r="B32" s="495">
        <v>180</v>
      </c>
      <c r="C32" s="495" t="s">
        <v>63</v>
      </c>
      <c r="D32" s="28">
        <f t="shared" si="1"/>
        <v>0</v>
      </c>
      <c r="E32" s="495" t="s">
        <v>63</v>
      </c>
      <c r="F32" s="495"/>
      <c r="G32" s="495" t="s">
        <v>63</v>
      </c>
      <c r="H32" s="495" t="s">
        <v>63</v>
      </c>
      <c r="I32" s="495" t="s">
        <v>63</v>
      </c>
      <c r="J32" s="495"/>
      <c r="K32" s="495" t="s">
        <v>63</v>
      </c>
    </row>
    <row r="33" spans="1:11" ht="36" hidden="1">
      <c r="A33" s="24" t="s">
        <v>92</v>
      </c>
      <c r="B33" s="495">
        <v>181</v>
      </c>
      <c r="C33" s="495">
        <v>410</v>
      </c>
      <c r="D33" s="28">
        <f t="shared" si="1"/>
        <v>0</v>
      </c>
      <c r="E33" s="495"/>
      <c r="F33" s="495"/>
      <c r="G33" s="495"/>
      <c r="H33" s="495"/>
      <c r="I33" s="495"/>
      <c r="J33" s="495"/>
      <c r="K33" s="495"/>
    </row>
    <row r="34" spans="1:18" ht="36" hidden="1">
      <c r="A34" s="24" t="s">
        <v>93</v>
      </c>
      <c r="B34" s="495">
        <v>182</v>
      </c>
      <c r="C34" s="495">
        <v>420</v>
      </c>
      <c r="D34" s="28">
        <f t="shared" si="1"/>
        <v>0</v>
      </c>
      <c r="E34" s="495"/>
      <c r="F34" s="495"/>
      <c r="G34" s="495"/>
      <c r="H34" s="495"/>
      <c r="I34" s="495"/>
      <c r="J34" s="495"/>
      <c r="K34" s="495"/>
      <c r="P34" s="305"/>
      <c r="R34" s="305"/>
    </row>
    <row r="35" spans="1:18" ht="36" hidden="1">
      <c r="A35" s="24" t="s">
        <v>94</v>
      </c>
      <c r="B35" s="495">
        <v>183</v>
      </c>
      <c r="C35" s="495">
        <v>440</v>
      </c>
      <c r="D35" s="28">
        <f t="shared" si="1"/>
        <v>0</v>
      </c>
      <c r="E35" s="495"/>
      <c r="F35" s="495"/>
      <c r="G35" s="495"/>
      <c r="H35" s="495"/>
      <c r="I35" s="495"/>
      <c r="J35" s="495"/>
      <c r="K35" s="495"/>
      <c r="P35" s="296"/>
      <c r="Q35" s="306"/>
      <c r="R35" s="296"/>
    </row>
    <row r="36" spans="1:11" ht="21" hidden="1">
      <c r="A36" s="2"/>
      <c r="B36" s="495"/>
      <c r="C36" s="495"/>
      <c r="D36" s="28">
        <f t="shared" si="1"/>
        <v>0</v>
      </c>
      <c r="E36" s="495"/>
      <c r="F36" s="495"/>
      <c r="G36" s="495"/>
      <c r="H36" s="495"/>
      <c r="I36" s="495"/>
      <c r="J36" s="495"/>
      <c r="K36" s="495"/>
    </row>
    <row r="37" spans="1:23" s="26" customFormat="1" ht="21">
      <c r="A37" s="30" t="s">
        <v>64</v>
      </c>
      <c r="B37" s="31">
        <v>200</v>
      </c>
      <c r="C37" s="31" t="s">
        <v>63</v>
      </c>
      <c r="D37" s="32">
        <f>D38+D45+D52++D61+D63+D68+D69+D70</f>
        <v>38219479.99639</v>
      </c>
      <c r="E37" s="32">
        <f aca="true" t="shared" si="2" ref="E37:K37">E38+E45+E52++E61+E63+E68+E69+E70</f>
        <v>2404599.99515</v>
      </c>
      <c r="F37" s="32"/>
      <c r="G37" s="32">
        <f t="shared" si="2"/>
        <v>278600</v>
      </c>
      <c r="H37" s="32">
        <f t="shared" si="2"/>
        <v>0</v>
      </c>
      <c r="I37" s="32">
        <f t="shared" si="2"/>
        <v>22260000.00162</v>
      </c>
      <c r="J37" s="32">
        <f>J38+J45+J52++J61+J63+J68+J69+J70</f>
        <v>13276279.99962</v>
      </c>
      <c r="K37" s="32">
        <f t="shared" si="2"/>
        <v>0</v>
      </c>
      <c r="P37" s="296"/>
      <c r="R37" s="296"/>
      <c r="S37" s="285"/>
      <c r="T37" s="285"/>
      <c r="U37" s="285"/>
      <c r="V37" s="285"/>
      <c r="W37" s="285"/>
    </row>
    <row r="38" spans="1:23" s="26" customFormat="1" ht="36">
      <c r="A38" s="33" t="s">
        <v>307</v>
      </c>
      <c r="B38" s="31">
        <v>210</v>
      </c>
      <c r="C38" s="31">
        <v>100</v>
      </c>
      <c r="D38" s="32">
        <f>D39+D41+D42</f>
        <v>27987587.39</v>
      </c>
      <c r="E38" s="317">
        <f aca="true" t="shared" si="3" ref="E38:K38">E39+E41+E42</f>
        <v>1766999.996</v>
      </c>
      <c r="F38" s="317"/>
      <c r="G38" s="34">
        <f>G39+G41+G42</f>
        <v>242000</v>
      </c>
      <c r="H38" s="34">
        <f t="shared" si="3"/>
        <v>0</v>
      </c>
      <c r="I38" s="374">
        <f t="shared" si="3"/>
        <v>17922350.392</v>
      </c>
      <c r="J38" s="34">
        <f>J39+J41+J42</f>
        <v>8056237.002</v>
      </c>
      <c r="K38" s="34">
        <f t="shared" si="3"/>
        <v>0</v>
      </c>
      <c r="P38" s="305"/>
      <c r="R38" s="305"/>
      <c r="S38" s="285"/>
      <c r="T38" s="285"/>
      <c r="U38" s="285"/>
      <c r="V38" s="285"/>
      <c r="W38" s="285"/>
    </row>
    <row r="39" spans="1:23" s="26" customFormat="1" ht="54">
      <c r="A39" s="33" t="s">
        <v>308</v>
      </c>
      <c r="B39" s="31">
        <v>211</v>
      </c>
      <c r="C39" s="31">
        <v>111.119</v>
      </c>
      <c r="D39" s="32">
        <f>D40+D43</f>
        <v>27671021</v>
      </c>
      <c r="E39" s="317">
        <f>E40+E43</f>
        <v>1766999.996</v>
      </c>
      <c r="F39" s="317"/>
      <c r="G39" s="34">
        <f>G40+G43</f>
        <v>0</v>
      </c>
      <c r="H39" s="34">
        <f>H40+H43</f>
        <v>0</v>
      </c>
      <c r="I39" s="374">
        <f>I40+I43</f>
        <v>17875784.002</v>
      </c>
      <c r="J39" s="34">
        <f>J40+J43</f>
        <v>8028237.002</v>
      </c>
      <c r="K39" s="34">
        <f>K40+K43</f>
        <v>0</v>
      </c>
      <c r="P39" s="285"/>
      <c r="R39" s="285"/>
      <c r="S39" s="285"/>
      <c r="T39" s="285"/>
      <c r="U39" s="285"/>
      <c r="V39" s="285"/>
      <c r="W39" s="285"/>
    </row>
    <row r="40" spans="1:23" s="26" customFormat="1" ht="21">
      <c r="A40" s="33" t="s">
        <v>309</v>
      </c>
      <c r="B40" s="31">
        <v>212</v>
      </c>
      <c r="C40" s="31">
        <v>111</v>
      </c>
      <c r="D40" s="28">
        <f>SUM(E40:J40)</f>
        <v>21252705</v>
      </c>
      <c r="E40" s="317">
        <f>'111 Б'!J32*1000</f>
        <v>1357143</v>
      </c>
      <c r="F40" s="317"/>
      <c r="G40" s="34"/>
      <c r="H40" s="34"/>
      <c r="I40" s="374">
        <f>'111 ОМС'!J32*1000</f>
        <v>13729481</v>
      </c>
      <c r="J40" s="317">
        <f>'111 ВнеБ(дополнит)'!J32*1000+'111 ВнеБ осн.'!J32*1000</f>
        <v>6166081</v>
      </c>
      <c r="K40" s="34"/>
      <c r="P40" s="285"/>
      <c r="R40" s="285"/>
      <c r="S40" s="285"/>
      <c r="T40" s="285"/>
      <c r="U40" s="285"/>
      <c r="V40" s="285"/>
      <c r="W40" s="285"/>
    </row>
    <row r="41" spans="1:23" s="26" customFormat="1" ht="82.5" customHeight="1">
      <c r="A41" s="35" t="s">
        <v>310</v>
      </c>
      <c r="B41" s="31">
        <v>213</v>
      </c>
      <c r="C41" s="31">
        <v>112</v>
      </c>
      <c r="D41" s="28">
        <f>SUM(E41:J41)</f>
        <v>316566.39</v>
      </c>
      <c r="E41" s="317">
        <f>'112.1Б'!F15</f>
        <v>0</v>
      </c>
      <c r="F41" s="317"/>
      <c r="G41" s="34">
        <f>242000</f>
        <v>242000</v>
      </c>
      <c r="H41" s="34"/>
      <c r="I41" s="374">
        <f>'266 ОМС'!F14</f>
        <v>46566.39</v>
      </c>
      <c r="J41" s="428">
        <f>'266 ВнеБ'!F14</f>
        <v>28000</v>
      </c>
      <c r="K41" s="34"/>
      <c r="P41" s="285"/>
      <c r="R41" s="285"/>
      <c r="S41" s="285"/>
      <c r="T41" s="285"/>
      <c r="U41" s="285"/>
      <c r="V41" s="285"/>
      <c r="W41" s="285"/>
    </row>
    <row r="42" spans="1:23" s="26" customFormat="1" ht="87.75" customHeight="1" hidden="1">
      <c r="A42" s="33" t="s">
        <v>311</v>
      </c>
      <c r="B42" s="31">
        <v>214</v>
      </c>
      <c r="C42" s="31">
        <v>113</v>
      </c>
      <c r="D42" s="28">
        <f>SUM(E42:J42)</f>
        <v>0</v>
      </c>
      <c r="E42" s="317"/>
      <c r="F42" s="317"/>
      <c r="G42" s="34"/>
      <c r="H42" s="34"/>
      <c r="I42" s="317"/>
      <c r="J42" s="428"/>
      <c r="K42" s="34"/>
      <c r="P42" s="285"/>
      <c r="R42" s="285"/>
      <c r="S42" s="285"/>
      <c r="T42" s="285"/>
      <c r="U42" s="285"/>
      <c r="V42" s="285"/>
      <c r="W42" s="285"/>
    </row>
    <row r="43" spans="1:23" s="26" customFormat="1" ht="105.75" customHeight="1">
      <c r="A43" s="33" t="s">
        <v>312</v>
      </c>
      <c r="B43" s="31">
        <v>215</v>
      </c>
      <c r="C43" s="31">
        <v>119</v>
      </c>
      <c r="D43" s="28">
        <f>SUM(E43:J43)</f>
        <v>6418316</v>
      </c>
      <c r="E43" s="317">
        <f>'119 Б'!D22</f>
        <v>409856.99600000004</v>
      </c>
      <c r="F43" s="317"/>
      <c r="G43" s="34"/>
      <c r="H43" s="34"/>
      <c r="I43" s="317">
        <f>'119 ОМС'!D22</f>
        <v>4146303.0019999994</v>
      </c>
      <c r="J43" s="317">
        <f>'119 ВнеБ'!D22</f>
        <v>1862156.0019999999</v>
      </c>
      <c r="K43" s="34"/>
      <c r="P43" s="285"/>
      <c r="R43" s="285"/>
      <c r="S43" s="285"/>
      <c r="T43" s="285"/>
      <c r="U43" s="285"/>
      <c r="V43" s="285"/>
      <c r="W43" s="285"/>
    </row>
    <row r="44" spans="1:23" s="26" customFormat="1" ht="21" hidden="1">
      <c r="A44" s="33"/>
      <c r="B44" s="31"/>
      <c r="C44" s="31"/>
      <c r="D44" s="28">
        <f>SUM(E44:J44)</f>
        <v>0</v>
      </c>
      <c r="E44" s="317"/>
      <c r="F44" s="317"/>
      <c r="G44" s="34"/>
      <c r="H44" s="34"/>
      <c r="I44" s="317"/>
      <c r="J44" s="317"/>
      <c r="K44" s="34"/>
      <c r="P44" s="285"/>
      <c r="R44" s="285"/>
      <c r="S44" s="285"/>
      <c r="T44" s="285"/>
      <c r="U44" s="285"/>
      <c r="V44" s="285"/>
      <c r="W44" s="285"/>
    </row>
    <row r="45" spans="1:23" s="26" customFormat="1" ht="36" hidden="1">
      <c r="A45" s="33" t="s">
        <v>313</v>
      </c>
      <c r="B45" s="31">
        <v>220</v>
      </c>
      <c r="C45" s="31">
        <v>300</v>
      </c>
      <c r="D45" s="32">
        <f>D46+D48+D49+D50</f>
        <v>0</v>
      </c>
      <c r="E45" s="317">
        <f aca="true" t="shared" si="4" ref="E45:K45">E46+E48+E49+E50</f>
        <v>0</v>
      </c>
      <c r="F45" s="317"/>
      <c r="G45" s="34">
        <f t="shared" si="4"/>
        <v>0</v>
      </c>
      <c r="H45" s="34">
        <f t="shared" si="4"/>
        <v>0</v>
      </c>
      <c r="I45" s="317">
        <f t="shared" si="4"/>
        <v>0</v>
      </c>
      <c r="J45" s="317">
        <f t="shared" si="4"/>
        <v>0</v>
      </c>
      <c r="K45" s="34">
        <f t="shared" si="4"/>
        <v>0</v>
      </c>
      <c r="P45" s="285"/>
      <c r="R45" s="285"/>
      <c r="S45" s="285"/>
      <c r="T45" s="285"/>
      <c r="U45" s="285"/>
      <c r="V45" s="285"/>
      <c r="W45" s="285"/>
    </row>
    <row r="46" spans="1:23" s="26" customFormat="1" ht="65.25" customHeight="1" hidden="1">
      <c r="A46" s="33" t="s">
        <v>314</v>
      </c>
      <c r="B46" s="31">
        <v>221</v>
      </c>
      <c r="C46" s="31">
        <v>320</v>
      </c>
      <c r="D46" s="32">
        <f>D47</f>
        <v>0</v>
      </c>
      <c r="E46" s="317">
        <f aca="true" t="shared" si="5" ref="E46:K46">E47</f>
        <v>0</v>
      </c>
      <c r="F46" s="317"/>
      <c r="G46" s="34">
        <f t="shared" si="5"/>
        <v>0</v>
      </c>
      <c r="H46" s="34">
        <f t="shared" si="5"/>
        <v>0</v>
      </c>
      <c r="I46" s="317">
        <f t="shared" si="5"/>
        <v>0</v>
      </c>
      <c r="J46" s="317">
        <f t="shared" si="5"/>
        <v>0</v>
      </c>
      <c r="K46" s="34">
        <f t="shared" si="5"/>
        <v>0</v>
      </c>
      <c r="P46" s="285"/>
      <c r="R46" s="285"/>
      <c r="S46" s="285"/>
      <c r="T46" s="285"/>
      <c r="U46" s="285"/>
      <c r="V46" s="285"/>
      <c r="W46" s="285"/>
    </row>
    <row r="47" spans="1:23" s="26" customFormat="1" ht="63.75" customHeight="1" hidden="1">
      <c r="A47" s="33" t="s">
        <v>315</v>
      </c>
      <c r="B47" s="31">
        <v>222</v>
      </c>
      <c r="C47" s="31">
        <v>321</v>
      </c>
      <c r="D47" s="28">
        <f>SUM(E47:J47)</f>
        <v>0</v>
      </c>
      <c r="E47" s="317"/>
      <c r="F47" s="317"/>
      <c r="G47" s="34"/>
      <c r="H47" s="34"/>
      <c r="I47" s="317"/>
      <c r="J47" s="317"/>
      <c r="K47" s="34"/>
      <c r="P47" s="285"/>
      <c r="R47" s="285"/>
      <c r="S47" s="285"/>
      <c r="T47" s="285"/>
      <c r="U47" s="285"/>
      <c r="V47" s="285"/>
      <c r="W47" s="285"/>
    </row>
    <row r="48" spans="1:23" s="26" customFormat="1" ht="21" hidden="1">
      <c r="A48" s="33" t="s">
        <v>316</v>
      </c>
      <c r="B48" s="31">
        <v>223</v>
      </c>
      <c r="C48" s="31">
        <v>340</v>
      </c>
      <c r="D48" s="28">
        <f>SUM(E48:J48)</f>
        <v>0</v>
      </c>
      <c r="E48" s="317"/>
      <c r="F48" s="317"/>
      <c r="G48" s="34"/>
      <c r="H48" s="34"/>
      <c r="I48" s="317"/>
      <c r="J48" s="317"/>
      <c r="K48" s="34"/>
      <c r="P48" s="285"/>
      <c r="R48" s="285"/>
      <c r="S48" s="285"/>
      <c r="T48" s="285"/>
      <c r="U48" s="285"/>
      <c r="V48" s="285"/>
      <c r="W48" s="285"/>
    </row>
    <row r="49" spans="1:23" s="26" customFormat="1" ht="21" hidden="1">
      <c r="A49" s="33" t="s">
        <v>317</v>
      </c>
      <c r="B49" s="31">
        <v>224</v>
      </c>
      <c r="C49" s="31">
        <v>350</v>
      </c>
      <c r="D49" s="28">
        <f>SUM(E49:J49)</f>
        <v>0</v>
      </c>
      <c r="E49" s="317"/>
      <c r="F49" s="317"/>
      <c r="G49" s="34"/>
      <c r="H49" s="34"/>
      <c r="I49" s="317"/>
      <c r="J49" s="317"/>
      <c r="K49" s="34"/>
      <c r="P49" s="285"/>
      <c r="R49" s="285"/>
      <c r="S49" s="285"/>
      <c r="T49" s="285"/>
      <c r="U49" s="285"/>
      <c r="V49" s="285"/>
      <c r="W49" s="285"/>
    </row>
    <row r="50" spans="1:23" s="26" customFormat="1" ht="21" hidden="1">
      <c r="A50" s="33" t="s">
        <v>318</v>
      </c>
      <c r="B50" s="31">
        <v>225</v>
      </c>
      <c r="C50" s="31">
        <v>360</v>
      </c>
      <c r="D50" s="28">
        <f>SUM(E50:J50)</f>
        <v>0</v>
      </c>
      <c r="E50" s="317"/>
      <c r="F50" s="317"/>
      <c r="G50" s="34"/>
      <c r="H50" s="34"/>
      <c r="I50" s="317"/>
      <c r="J50" s="317"/>
      <c r="K50" s="34"/>
      <c r="P50" s="285"/>
      <c r="R50" s="285"/>
      <c r="S50" s="285"/>
      <c r="T50" s="285"/>
      <c r="U50" s="285"/>
      <c r="V50" s="285"/>
      <c r="W50" s="285"/>
    </row>
    <row r="51" spans="1:23" s="26" customFormat="1" ht="21" hidden="1">
      <c r="A51" s="35"/>
      <c r="B51" s="31"/>
      <c r="C51" s="31"/>
      <c r="D51" s="28">
        <f>SUM(E51:J51)</f>
        <v>0</v>
      </c>
      <c r="E51" s="317"/>
      <c r="F51" s="317"/>
      <c r="G51" s="34"/>
      <c r="H51" s="34"/>
      <c r="I51" s="317"/>
      <c r="J51" s="317"/>
      <c r="K51" s="34"/>
      <c r="P51" s="285"/>
      <c r="R51" s="285"/>
      <c r="S51" s="285"/>
      <c r="T51" s="285"/>
      <c r="U51" s="285"/>
      <c r="V51" s="285"/>
      <c r="W51" s="285"/>
    </row>
    <row r="52" spans="1:23" s="26" customFormat="1" ht="36">
      <c r="A52" s="33" t="s">
        <v>319</v>
      </c>
      <c r="B52" s="31">
        <v>226</v>
      </c>
      <c r="C52" s="31">
        <v>800</v>
      </c>
      <c r="D52" s="32">
        <f>D53+D55+D59</f>
        <v>73303.4</v>
      </c>
      <c r="E52" s="317">
        <f aca="true" t="shared" si="6" ref="E52:K52">E53+E55+E59</f>
        <v>0</v>
      </c>
      <c r="F52" s="317"/>
      <c r="G52" s="34"/>
      <c r="H52" s="34">
        <f t="shared" si="6"/>
        <v>0</v>
      </c>
      <c r="I52" s="317">
        <f t="shared" si="6"/>
        <v>61995.4</v>
      </c>
      <c r="J52" s="317">
        <f>J53+J55+J59</f>
        <v>11308</v>
      </c>
      <c r="K52" s="34">
        <f t="shared" si="6"/>
        <v>0</v>
      </c>
      <c r="P52" s="285"/>
      <c r="R52" s="285"/>
      <c r="S52" s="285"/>
      <c r="T52" s="285"/>
      <c r="U52" s="285"/>
      <c r="V52" s="285"/>
      <c r="W52" s="285"/>
    </row>
    <row r="53" spans="1:23" s="26" customFormat="1" ht="108" hidden="1">
      <c r="A53" s="35" t="s">
        <v>65</v>
      </c>
      <c r="B53" s="31">
        <v>227</v>
      </c>
      <c r="C53" s="31">
        <v>831</v>
      </c>
      <c r="D53" s="28">
        <f>SUM(E53:J53)</f>
        <v>0</v>
      </c>
      <c r="E53" s="317"/>
      <c r="F53" s="317"/>
      <c r="G53" s="34"/>
      <c r="H53" s="34"/>
      <c r="I53" s="317"/>
      <c r="J53" s="317"/>
      <c r="K53" s="34"/>
      <c r="P53" s="285"/>
      <c r="R53" s="285"/>
      <c r="S53" s="285"/>
      <c r="T53" s="285"/>
      <c r="U53" s="285"/>
      <c r="V53" s="285"/>
      <c r="W53" s="285"/>
    </row>
    <row r="54" spans="1:23" s="26" customFormat="1" ht="21" hidden="1">
      <c r="A54" s="33"/>
      <c r="B54" s="31"/>
      <c r="C54" s="31"/>
      <c r="D54" s="28">
        <f>SUM(E54:J54)</f>
        <v>0</v>
      </c>
      <c r="E54" s="317"/>
      <c r="F54" s="317"/>
      <c r="G54" s="34"/>
      <c r="H54" s="34"/>
      <c r="I54" s="317"/>
      <c r="J54" s="317"/>
      <c r="K54" s="34"/>
      <c r="P54" s="285"/>
      <c r="R54" s="285"/>
      <c r="S54" s="285"/>
      <c r="T54" s="285"/>
      <c r="U54" s="285"/>
      <c r="V54" s="285"/>
      <c r="W54" s="285"/>
    </row>
    <row r="55" spans="1:23" s="26" customFormat="1" ht="21">
      <c r="A55" s="33" t="s">
        <v>472</v>
      </c>
      <c r="B55" s="31">
        <v>230</v>
      </c>
      <c r="C55" s="31">
        <v>850</v>
      </c>
      <c r="D55" s="32">
        <f>SUM(D56:D58)</f>
        <v>73303.4</v>
      </c>
      <c r="E55" s="317">
        <f aca="true" t="shared" si="7" ref="E55:K55">SUM(E56:E58)</f>
        <v>0</v>
      </c>
      <c r="F55" s="317"/>
      <c r="G55" s="34">
        <f t="shared" si="7"/>
        <v>0</v>
      </c>
      <c r="H55" s="34">
        <f t="shared" si="7"/>
        <v>0</v>
      </c>
      <c r="I55" s="317">
        <f>SUM(I56:I58)</f>
        <v>61995.4</v>
      </c>
      <c r="J55" s="317">
        <f>SUM(J56:J58)</f>
        <v>11308</v>
      </c>
      <c r="K55" s="34">
        <f t="shared" si="7"/>
        <v>0</v>
      </c>
      <c r="P55" s="285"/>
      <c r="R55" s="285"/>
      <c r="S55" s="285"/>
      <c r="T55" s="285"/>
      <c r="U55" s="285"/>
      <c r="V55" s="285"/>
      <c r="W55" s="285"/>
    </row>
    <row r="56" spans="1:23" s="26" customFormat="1" ht="22.5" customHeight="1">
      <c r="A56" s="476" t="s">
        <v>695</v>
      </c>
      <c r="B56" s="477">
        <v>231</v>
      </c>
      <c r="C56" s="477">
        <v>851</v>
      </c>
      <c r="D56" s="318">
        <f aca="true" t="shared" si="8" ref="D56:D89">SUM(E56:J56)</f>
        <v>73303.4</v>
      </c>
      <c r="E56" s="317">
        <f>'290имБ'!F16</f>
        <v>0</v>
      </c>
      <c r="F56" s="317"/>
      <c r="G56" s="317"/>
      <c r="H56" s="317"/>
      <c r="I56" s="317">
        <f>'290имОМС'!E12+'290трОМС'!F27</f>
        <v>61995.4</v>
      </c>
      <c r="J56" s="317">
        <f>'290тр ВнеБ'!F29</f>
        <v>11308</v>
      </c>
      <c r="K56" s="34"/>
      <c r="P56" s="285"/>
      <c r="R56" s="285"/>
      <c r="S56" s="285"/>
      <c r="T56" s="285"/>
      <c r="U56" s="285"/>
      <c r="V56" s="285"/>
      <c r="W56" s="285"/>
    </row>
    <row r="57" spans="1:23" s="26" customFormat="1" ht="21" hidden="1">
      <c r="A57" s="33" t="s">
        <v>696</v>
      </c>
      <c r="B57" s="31">
        <v>232</v>
      </c>
      <c r="C57" s="31"/>
      <c r="D57" s="318">
        <f t="shared" si="8"/>
        <v>0</v>
      </c>
      <c r="E57" s="317">
        <f>'290трБ'!F27</f>
        <v>0</v>
      </c>
      <c r="F57" s="317"/>
      <c r="G57" s="317"/>
      <c r="H57" s="317"/>
      <c r="I57" s="317"/>
      <c r="J57" s="317"/>
      <c r="K57" s="34"/>
      <c r="P57" s="285"/>
      <c r="R57" s="285"/>
      <c r="S57" s="285"/>
      <c r="T57" s="285"/>
      <c r="U57" s="285"/>
      <c r="V57" s="285"/>
      <c r="W57" s="285"/>
    </row>
    <row r="58" spans="1:23" s="26" customFormat="1" ht="21" hidden="1">
      <c r="A58" s="33" t="s">
        <v>323</v>
      </c>
      <c r="B58" s="31">
        <v>233</v>
      </c>
      <c r="C58" s="31"/>
      <c r="D58" s="318">
        <f t="shared" si="8"/>
        <v>0</v>
      </c>
      <c r="E58" s="317"/>
      <c r="F58" s="317"/>
      <c r="G58" s="317"/>
      <c r="H58" s="317"/>
      <c r="I58" s="317"/>
      <c r="J58" s="317">
        <f>'290иные ВнеБ'!F28</f>
        <v>0</v>
      </c>
      <c r="K58" s="34"/>
      <c r="P58" s="285"/>
      <c r="R58" s="285"/>
      <c r="S58" s="285"/>
      <c r="T58" s="285"/>
      <c r="U58" s="285"/>
      <c r="V58" s="285"/>
      <c r="W58" s="285"/>
    </row>
    <row r="59" spans="1:23" s="26" customFormat="1" ht="72" hidden="1">
      <c r="A59" s="33" t="s">
        <v>66</v>
      </c>
      <c r="B59" s="31">
        <v>234</v>
      </c>
      <c r="C59" s="31">
        <v>860</v>
      </c>
      <c r="D59" s="318">
        <f t="shared" si="8"/>
        <v>0</v>
      </c>
      <c r="E59" s="317"/>
      <c r="F59" s="317"/>
      <c r="G59" s="317"/>
      <c r="H59" s="317"/>
      <c r="I59" s="317"/>
      <c r="J59" s="428"/>
      <c r="K59" s="34"/>
      <c r="P59" s="285"/>
      <c r="R59" s="285"/>
      <c r="S59" s="285"/>
      <c r="T59" s="285"/>
      <c r="U59" s="285"/>
      <c r="V59" s="285"/>
      <c r="W59" s="285"/>
    </row>
    <row r="60" spans="1:23" s="26" customFormat="1" ht="21" hidden="1">
      <c r="A60" s="33"/>
      <c r="B60" s="31"/>
      <c r="C60" s="31"/>
      <c r="D60" s="318">
        <f t="shared" si="8"/>
        <v>0</v>
      </c>
      <c r="E60" s="317"/>
      <c r="F60" s="317"/>
      <c r="G60" s="317"/>
      <c r="H60" s="317"/>
      <c r="I60" s="317"/>
      <c r="J60" s="428"/>
      <c r="K60" s="34"/>
      <c r="P60" s="285"/>
      <c r="R60" s="285"/>
      <c r="S60" s="285"/>
      <c r="T60" s="285"/>
      <c r="U60" s="285"/>
      <c r="V60" s="285"/>
      <c r="W60" s="285"/>
    </row>
    <row r="61" spans="1:23" s="26" customFormat="1" ht="33.75" customHeight="1" hidden="1">
      <c r="A61" s="33" t="s">
        <v>324</v>
      </c>
      <c r="B61" s="31">
        <v>240</v>
      </c>
      <c r="C61" s="31">
        <v>600</v>
      </c>
      <c r="D61" s="318">
        <f t="shared" si="8"/>
        <v>0</v>
      </c>
      <c r="E61" s="317"/>
      <c r="F61" s="317"/>
      <c r="G61" s="317"/>
      <c r="H61" s="317"/>
      <c r="I61" s="317"/>
      <c r="J61" s="428"/>
      <c r="K61" s="34"/>
      <c r="P61" s="285"/>
      <c r="R61" s="285"/>
      <c r="S61" s="285"/>
      <c r="T61" s="285"/>
      <c r="U61" s="285"/>
      <c r="V61" s="285"/>
      <c r="W61" s="285"/>
    </row>
    <row r="62" spans="1:23" s="26" customFormat="1" ht="21" hidden="1">
      <c r="A62" s="33"/>
      <c r="B62" s="31"/>
      <c r="C62" s="31"/>
      <c r="D62" s="318">
        <f t="shared" si="8"/>
        <v>0</v>
      </c>
      <c r="E62" s="317"/>
      <c r="F62" s="317"/>
      <c r="G62" s="317"/>
      <c r="H62" s="317"/>
      <c r="I62" s="317"/>
      <c r="J62" s="428"/>
      <c r="K62" s="34"/>
      <c r="P62" s="285"/>
      <c r="R62" s="285"/>
      <c r="S62" s="285"/>
      <c r="T62" s="285"/>
      <c r="U62" s="285"/>
      <c r="V62" s="285"/>
      <c r="W62" s="285"/>
    </row>
    <row r="63" spans="1:23" s="26" customFormat="1" ht="72" hidden="1">
      <c r="A63" s="33" t="s">
        <v>67</v>
      </c>
      <c r="B63" s="31">
        <v>241</v>
      </c>
      <c r="C63" s="31">
        <v>400</v>
      </c>
      <c r="D63" s="318">
        <f>SUM(D64:D65)</f>
        <v>0</v>
      </c>
      <c r="E63" s="317">
        <f aca="true" t="shared" si="9" ref="E63:K63">SUM(E64:E65)</f>
        <v>0</v>
      </c>
      <c r="F63" s="317"/>
      <c r="G63" s="317">
        <f t="shared" si="9"/>
        <v>0</v>
      </c>
      <c r="H63" s="317">
        <f t="shared" si="9"/>
        <v>0</v>
      </c>
      <c r="I63" s="317">
        <f t="shared" si="9"/>
        <v>0</v>
      </c>
      <c r="J63" s="428">
        <f t="shared" si="9"/>
        <v>0</v>
      </c>
      <c r="K63" s="34">
        <f t="shared" si="9"/>
        <v>0</v>
      </c>
      <c r="P63" s="285"/>
      <c r="R63" s="285"/>
      <c r="S63" s="285"/>
      <c r="T63" s="285"/>
      <c r="U63" s="285"/>
      <c r="V63" s="285"/>
      <c r="W63" s="285"/>
    </row>
    <row r="64" spans="1:23" s="26" customFormat="1" ht="112.5" customHeight="1" hidden="1">
      <c r="A64" s="35" t="s">
        <v>325</v>
      </c>
      <c r="B64" s="31">
        <v>242</v>
      </c>
      <c r="C64" s="31">
        <v>416</v>
      </c>
      <c r="D64" s="318">
        <f t="shared" si="8"/>
        <v>0</v>
      </c>
      <c r="E64" s="317"/>
      <c r="F64" s="317"/>
      <c r="G64" s="317"/>
      <c r="H64" s="317"/>
      <c r="I64" s="317"/>
      <c r="J64" s="428"/>
      <c r="K64" s="34"/>
      <c r="P64" s="285"/>
      <c r="R64" s="285"/>
      <c r="S64" s="285"/>
      <c r="T64" s="285"/>
      <c r="U64" s="285"/>
      <c r="V64" s="285"/>
      <c r="W64" s="285"/>
    </row>
    <row r="65" spans="1:23" s="26" customFormat="1" ht="108" hidden="1">
      <c r="A65" s="33" t="s">
        <v>326</v>
      </c>
      <c r="B65" s="31">
        <v>243</v>
      </c>
      <c r="C65" s="31">
        <v>417</v>
      </c>
      <c r="D65" s="318">
        <f t="shared" si="8"/>
        <v>0</v>
      </c>
      <c r="E65" s="317"/>
      <c r="F65" s="317"/>
      <c r="G65" s="317"/>
      <c r="H65" s="317"/>
      <c r="I65" s="317"/>
      <c r="J65" s="428"/>
      <c r="K65" s="34"/>
      <c r="P65" s="285"/>
      <c r="R65" s="285"/>
      <c r="S65" s="285"/>
      <c r="T65" s="285"/>
      <c r="U65" s="285"/>
      <c r="V65" s="285"/>
      <c r="W65" s="285"/>
    </row>
    <row r="66" spans="1:23" s="26" customFormat="1" ht="21" hidden="1">
      <c r="A66" s="33"/>
      <c r="B66" s="31"/>
      <c r="C66" s="31"/>
      <c r="D66" s="318">
        <f t="shared" si="8"/>
        <v>0</v>
      </c>
      <c r="E66" s="317"/>
      <c r="F66" s="317"/>
      <c r="G66" s="317"/>
      <c r="H66" s="317"/>
      <c r="I66" s="317"/>
      <c r="J66" s="317"/>
      <c r="K66" s="34"/>
      <c r="P66" s="285"/>
      <c r="R66" s="285"/>
      <c r="S66" s="285"/>
      <c r="T66" s="285"/>
      <c r="U66" s="285"/>
      <c r="V66" s="285"/>
      <c r="W66" s="285"/>
    </row>
    <row r="67" spans="1:23" s="26" customFormat="1" ht="36">
      <c r="A67" s="33" t="s">
        <v>327</v>
      </c>
      <c r="B67" s="31">
        <v>260</v>
      </c>
      <c r="C67" s="31" t="s">
        <v>63</v>
      </c>
      <c r="D67" s="318">
        <f>SUM(E67:J67)</f>
        <v>10158589.206389999</v>
      </c>
      <c r="E67" s="317">
        <f aca="true" t="shared" si="10" ref="E67:K67">E70</f>
        <v>637599.99915</v>
      </c>
      <c r="F67" s="317"/>
      <c r="G67" s="317">
        <f t="shared" si="10"/>
        <v>36600</v>
      </c>
      <c r="H67" s="317">
        <f t="shared" si="10"/>
        <v>0</v>
      </c>
      <c r="I67" s="317">
        <f t="shared" si="10"/>
        <v>4275654.20962</v>
      </c>
      <c r="J67" s="317">
        <f t="shared" si="10"/>
        <v>5208734.99762</v>
      </c>
      <c r="K67" s="34">
        <f t="shared" si="10"/>
        <v>0</v>
      </c>
      <c r="P67" s="285"/>
      <c r="R67" s="285"/>
      <c r="S67" s="285"/>
      <c r="T67" s="285"/>
      <c r="U67" s="285"/>
      <c r="V67" s="285"/>
      <c r="W67" s="285"/>
    </row>
    <row r="68" spans="1:23" s="26" customFormat="1" ht="36" hidden="1">
      <c r="A68" s="33" t="s">
        <v>328</v>
      </c>
      <c r="B68" s="31">
        <v>261</v>
      </c>
      <c r="C68" s="31">
        <v>241</v>
      </c>
      <c r="D68" s="318">
        <f t="shared" si="8"/>
        <v>0</v>
      </c>
      <c r="E68" s="317"/>
      <c r="F68" s="317"/>
      <c r="G68" s="317"/>
      <c r="H68" s="317"/>
      <c r="I68" s="317"/>
      <c r="J68" s="317"/>
      <c r="K68" s="34"/>
      <c r="P68" s="285"/>
      <c r="R68" s="285"/>
      <c r="S68" s="285"/>
      <c r="T68" s="285"/>
      <c r="U68" s="285"/>
      <c r="V68" s="285"/>
      <c r="W68" s="285"/>
    </row>
    <row r="69" spans="1:23" s="26" customFormat="1" ht="75" customHeight="1" hidden="1">
      <c r="A69" s="33" t="s">
        <v>329</v>
      </c>
      <c r="B69" s="31">
        <v>262</v>
      </c>
      <c r="C69" s="31">
        <v>243</v>
      </c>
      <c r="D69" s="318">
        <f t="shared" si="8"/>
        <v>0</v>
      </c>
      <c r="E69" s="317"/>
      <c r="F69" s="317"/>
      <c r="G69" s="317"/>
      <c r="H69" s="317"/>
      <c r="I69" s="317"/>
      <c r="J69" s="317"/>
      <c r="K69" s="34"/>
      <c r="P69" s="285"/>
      <c r="R69" s="285"/>
      <c r="S69" s="285"/>
      <c r="T69" s="285"/>
      <c r="U69" s="285"/>
      <c r="V69" s="285"/>
      <c r="W69" s="285"/>
    </row>
    <row r="70" spans="1:23" s="26" customFormat="1" ht="81.75" customHeight="1">
      <c r="A70" s="33" t="s">
        <v>68</v>
      </c>
      <c r="B70" s="31">
        <v>263</v>
      </c>
      <c r="C70" s="31">
        <v>244</v>
      </c>
      <c r="D70" s="318">
        <f>SUM(D71:D81)</f>
        <v>10158589.20639</v>
      </c>
      <c r="E70" s="317">
        <f aca="true" t="shared" si="11" ref="E70:K70">SUM(E71:E81)</f>
        <v>637599.99915</v>
      </c>
      <c r="F70" s="317"/>
      <c r="G70" s="317">
        <f t="shared" si="11"/>
        <v>36600</v>
      </c>
      <c r="H70" s="317">
        <f t="shared" si="11"/>
        <v>0</v>
      </c>
      <c r="I70" s="317">
        <f>SUM(I71:I81)</f>
        <v>4275654.20962</v>
      </c>
      <c r="J70" s="317">
        <f>SUM(J71:J81)</f>
        <v>5208734.99762</v>
      </c>
      <c r="K70" s="34">
        <f t="shared" si="11"/>
        <v>0</v>
      </c>
      <c r="P70" s="285"/>
      <c r="R70" s="285"/>
      <c r="S70" s="285"/>
      <c r="T70" s="285"/>
      <c r="U70" s="285"/>
      <c r="V70" s="285"/>
      <c r="W70" s="285"/>
    </row>
    <row r="71" spans="1:23" s="26" customFormat="1" ht="21">
      <c r="A71" s="35" t="s">
        <v>330</v>
      </c>
      <c r="B71" s="31">
        <v>264</v>
      </c>
      <c r="C71" s="31">
        <v>244</v>
      </c>
      <c r="D71" s="318">
        <f t="shared" si="8"/>
        <v>277029.82</v>
      </c>
      <c r="E71" s="317">
        <f>'221 Б'!F22</f>
        <v>0</v>
      </c>
      <c r="F71" s="317"/>
      <c r="G71" s="317"/>
      <c r="H71" s="317"/>
      <c r="I71" s="317">
        <f>'221 ОМС'!F23</f>
        <v>247029.82</v>
      </c>
      <c r="J71" s="317">
        <f>'221 ВнеБ'!F22</f>
        <v>30000</v>
      </c>
      <c r="K71" s="34"/>
      <c r="P71" s="285"/>
      <c r="R71" s="285"/>
      <c r="S71" s="285"/>
      <c r="T71" s="285"/>
      <c r="U71" s="285"/>
      <c r="V71" s="285"/>
      <c r="W71" s="285"/>
    </row>
    <row r="72" spans="1:23" s="26" customFormat="1" ht="21">
      <c r="A72" s="33" t="s">
        <v>331</v>
      </c>
      <c r="B72" s="31">
        <v>265</v>
      </c>
      <c r="C72" s="31">
        <v>244</v>
      </c>
      <c r="D72" s="318">
        <f t="shared" si="8"/>
        <v>30000</v>
      </c>
      <c r="E72" s="317"/>
      <c r="F72" s="317"/>
      <c r="G72" s="317"/>
      <c r="H72" s="317"/>
      <c r="I72" s="317"/>
      <c r="J72" s="317">
        <v>30000</v>
      </c>
      <c r="K72" s="34"/>
      <c r="P72" s="285"/>
      <c r="R72" s="285"/>
      <c r="S72" s="285"/>
      <c r="T72" s="285"/>
      <c r="U72" s="285"/>
      <c r="V72" s="285"/>
      <c r="W72" s="285"/>
    </row>
    <row r="73" spans="1:23" s="26" customFormat="1" ht="21">
      <c r="A73" s="33" t="s">
        <v>332</v>
      </c>
      <c r="B73" s="31">
        <v>266</v>
      </c>
      <c r="C73" s="31">
        <v>244</v>
      </c>
      <c r="D73" s="318">
        <f t="shared" si="8"/>
        <v>752333.59639</v>
      </c>
      <c r="E73" s="317">
        <f>'244(223)Б'!E21</f>
        <v>32395.469149999994</v>
      </c>
      <c r="F73" s="317"/>
      <c r="G73" s="317"/>
      <c r="H73" s="317"/>
      <c r="I73" s="317">
        <f>'244(223)ОМС'!E21</f>
        <v>529835.2796199999</v>
      </c>
      <c r="J73" s="317">
        <f>'244(223)ВнеБ'!E21</f>
        <v>190102.84762000002</v>
      </c>
      <c r="K73" s="34"/>
      <c r="P73" s="285"/>
      <c r="R73" s="285"/>
      <c r="S73" s="285"/>
      <c r="T73" s="285"/>
      <c r="U73" s="285"/>
      <c r="V73" s="285"/>
      <c r="W73" s="285"/>
    </row>
    <row r="74" spans="1:23" s="26" customFormat="1" ht="36">
      <c r="A74" s="33" t="s">
        <v>333</v>
      </c>
      <c r="B74" s="31">
        <v>267</v>
      </c>
      <c r="C74" s="31">
        <v>244</v>
      </c>
      <c r="D74" s="318">
        <f t="shared" si="8"/>
        <v>1149600</v>
      </c>
      <c r="E74" s="317"/>
      <c r="F74" s="317"/>
      <c r="G74" s="317"/>
      <c r="H74" s="317"/>
      <c r="I74" s="317"/>
      <c r="J74" s="317">
        <v>1149600</v>
      </c>
      <c r="K74" s="34"/>
      <c r="P74" s="285"/>
      <c r="R74" s="285"/>
      <c r="S74" s="285"/>
      <c r="T74" s="285"/>
      <c r="U74" s="285"/>
      <c r="V74" s="285"/>
      <c r="W74" s="285"/>
    </row>
    <row r="75" spans="1:23" s="26" customFormat="1" ht="36">
      <c r="A75" s="33" t="s">
        <v>334</v>
      </c>
      <c r="B75" s="31">
        <v>268</v>
      </c>
      <c r="C75" s="31">
        <v>244</v>
      </c>
      <c r="D75" s="318">
        <f t="shared" si="8"/>
        <v>484371.74</v>
      </c>
      <c r="E75" s="317">
        <f>'225Б'!F44</f>
        <v>4254.87</v>
      </c>
      <c r="F75" s="317"/>
      <c r="G75" s="317"/>
      <c r="H75" s="317"/>
      <c r="I75" s="317">
        <f>'225 ОМС'!F41</f>
        <v>311400.87</v>
      </c>
      <c r="J75" s="317">
        <f>'225 ВнеБ'!F44</f>
        <v>168716</v>
      </c>
      <c r="K75" s="34"/>
      <c r="P75" s="285"/>
      <c r="R75" s="285"/>
      <c r="S75" s="285"/>
      <c r="T75" s="285"/>
      <c r="U75" s="285"/>
      <c r="V75" s="285"/>
      <c r="W75" s="285"/>
    </row>
    <row r="76" spans="1:23" s="26" customFormat="1" ht="21">
      <c r="A76" s="33" t="s">
        <v>335</v>
      </c>
      <c r="B76" s="31">
        <v>269</v>
      </c>
      <c r="C76" s="31">
        <v>244</v>
      </c>
      <c r="D76" s="318">
        <f t="shared" si="8"/>
        <v>2686530.9</v>
      </c>
      <c r="E76" s="317">
        <f>'226 Б'!F45</f>
        <v>394443.66</v>
      </c>
      <c r="F76" s="317"/>
      <c r="G76" s="317">
        <v>36600</v>
      </c>
      <c r="H76" s="317"/>
      <c r="I76" s="317">
        <f>'226 ОМС'!F49</f>
        <v>1056587.24</v>
      </c>
      <c r="J76" s="317">
        <f>'226 ВнеБ'!F46</f>
        <v>1198900</v>
      </c>
      <c r="K76" s="34"/>
      <c r="P76" s="285"/>
      <c r="R76" s="285"/>
      <c r="S76" s="285"/>
      <c r="T76" s="285"/>
      <c r="U76" s="285"/>
      <c r="V76" s="285"/>
      <c r="W76" s="285"/>
    </row>
    <row r="77" spans="1:23" s="26" customFormat="1" ht="21">
      <c r="A77" s="33" t="s">
        <v>694</v>
      </c>
      <c r="B77" s="31"/>
      <c r="C77" s="31">
        <v>244</v>
      </c>
      <c r="D77" s="318">
        <f t="shared" si="8"/>
        <v>10458</v>
      </c>
      <c r="E77" s="317"/>
      <c r="F77" s="317"/>
      <c r="G77" s="317"/>
      <c r="H77" s="317"/>
      <c r="I77" s="317">
        <v>6058</v>
      </c>
      <c r="J77" s="317">
        <v>4400</v>
      </c>
      <c r="K77" s="34"/>
      <c r="P77" s="285"/>
      <c r="R77" s="285"/>
      <c r="S77" s="285"/>
      <c r="T77" s="285"/>
      <c r="U77" s="285"/>
      <c r="V77" s="285"/>
      <c r="W77" s="285"/>
    </row>
    <row r="78" spans="1:23" s="26" customFormat="1" ht="21" hidden="1">
      <c r="A78" s="33" t="s">
        <v>472</v>
      </c>
      <c r="B78" s="31">
        <v>290</v>
      </c>
      <c r="C78" s="31"/>
      <c r="D78" s="318">
        <f>J78</f>
        <v>0</v>
      </c>
      <c r="E78" s="317"/>
      <c r="F78" s="317"/>
      <c r="G78" s="317"/>
      <c r="H78" s="317"/>
      <c r="I78" s="317"/>
      <c r="J78" s="317"/>
      <c r="K78" s="34"/>
      <c r="P78" s="285"/>
      <c r="R78" s="285"/>
      <c r="S78" s="285"/>
      <c r="T78" s="285"/>
      <c r="U78" s="285"/>
      <c r="V78" s="285"/>
      <c r="W78" s="285"/>
    </row>
    <row r="79" spans="1:23" s="26" customFormat="1" ht="36">
      <c r="A79" s="33" t="s">
        <v>336</v>
      </c>
      <c r="B79" s="31">
        <v>270</v>
      </c>
      <c r="C79" s="31">
        <v>244</v>
      </c>
      <c r="D79" s="318">
        <f t="shared" si="8"/>
        <v>609000</v>
      </c>
      <c r="E79" s="317">
        <f>'310Б'!E19</f>
        <v>23000</v>
      </c>
      <c r="F79" s="317"/>
      <c r="G79" s="317"/>
      <c r="H79" s="317"/>
      <c r="I79" s="317">
        <f>'310 ОМС'!E32</f>
        <v>20000</v>
      </c>
      <c r="J79" s="317">
        <f>'310 ВнеБ'!E24</f>
        <v>566000</v>
      </c>
      <c r="K79" s="34"/>
      <c r="P79" s="285"/>
      <c r="R79" s="285"/>
      <c r="S79" s="285"/>
      <c r="T79" s="285"/>
      <c r="U79" s="285"/>
      <c r="V79" s="285"/>
      <c r="W79" s="285"/>
    </row>
    <row r="80" spans="1:23" s="26" customFormat="1" ht="36" hidden="1">
      <c r="A80" s="33" t="s">
        <v>337</v>
      </c>
      <c r="B80" s="31">
        <v>271</v>
      </c>
      <c r="C80" s="31"/>
      <c r="D80" s="318">
        <f t="shared" si="8"/>
        <v>0</v>
      </c>
      <c r="E80" s="317"/>
      <c r="F80" s="317"/>
      <c r="G80" s="317"/>
      <c r="H80" s="317"/>
      <c r="I80" s="317"/>
      <c r="J80" s="317"/>
      <c r="K80" s="34"/>
      <c r="P80" s="285"/>
      <c r="R80" s="285"/>
      <c r="S80" s="285"/>
      <c r="T80" s="285"/>
      <c r="U80" s="285"/>
      <c r="V80" s="285"/>
      <c r="W80" s="285"/>
    </row>
    <row r="81" spans="1:23" s="26" customFormat="1" ht="36">
      <c r="A81" s="33" t="s">
        <v>338</v>
      </c>
      <c r="B81" s="31">
        <v>272</v>
      </c>
      <c r="C81" s="31">
        <v>244</v>
      </c>
      <c r="D81" s="318">
        <f t="shared" si="8"/>
        <v>4159265.15</v>
      </c>
      <c r="E81" s="317">
        <f>'340 Б'!D31</f>
        <v>183506</v>
      </c>
      <c r="F81" s="317"/>
      <c r="G81" s="317"/>
      <c r="H81" s="317"/>
      <c r="I81" s="317">
        <f>'340 ОМС'!D31</f>
        <v>2104743</v>
      </c>
      <c r="J81" s="317">
        <f>'340 ВнеБ'!D31</f>
        <v>1871016.15</v>
      </c>
      <c r="K81" s="34"/>
      <c r="P81" s="285"/>
      <c r="R81" s="285"/>
      <c r="S81" s="285"/>
      <c r="T81" s="285"/>
      <c r="U81" s="285"/>
      <c r="V81" s="285"/>
      <c r="W81" s="285"/>
    </row>
    <row r="82" spans="1:23" s="25" customFormat="1" ht="34.5">
      <c r="A82" s="10" t="s">
        <v>69</v>
      </c>
      <c r="B82" s="494">
        <v>300</v>
      </c>
      <c r="C82" s="494" t="s">
        <v>63</v>
      </c>
      <c r="D82" s="28">
        <f aca="true" t="shared" si="12" ref="D82:K82">SUM(D83:D85)</f>
        <v>38219480</v>
      </c>
      <c r="E82" s="318">
        <f t="shared" si="12"/>
        <v>2404600</v>
      </c>
      <c r="F82" s="318"/>
      <c r="G82" s="28">
        <f t="shared" si="12"/>
        <v>278600</v>
      </c>
      <c r="H82" s="28">
        <f t="shared" si="12"/>
        <v>0</v>
      </c>
      <c r="I82" s="28">
        <f t="shared" si="12"/>
        <v>22260000</v>
      </c>
      <c r="J82" s="28">
        <f>SUM(J83:J85)</f>
        <v>13276280</v>
      </c>
      <c r="K82" s="28">
        <f t="shared" si="12"/>
        <v>0</v>
      </c>
      <c r="N82" s="216"/>
      <c r="O82" s="216"/>
      <c r="P82" s="304"/>
      <c r="Q82" s="216"/>
      <c r="R82" s="304"/>
      <c r="S82" s="304"/>
      <c r="T82" s="304"/>
      <c r="U82" s="304"/>
      <c r="V82" s="284"/>
      <c r="W82" s="284"/>
    </row>
    <row r="83" spans="1:11" ht="36">
      <c r="A83" s="2" t="s">
        <v>339</v>
      </c>
      <c r="B83" s="495">
        <v>310</v>
      </c>
      <c r="C83" s="495">
        <v>510</v>
      </c>
      <c r="D83" s="28">
        <f>D21</f>
        <v>38219480</v>
      </c>
      <c r="E83" s="317">
        <f>E21</f>
        <v>2404600</v>
      </c>
      <c r="F83" s="317"/>
      <c r="G83" s="29">
        <v>278600</v>
      </c>
      <c r="H83" s="29">
        <f>H21</f>
        <v>0</v>
      </c>
      <c r="I83" s="29">
        <f>I21+I20</f>
        <v>22260000</v>
      </c>
      <c r="J83" s="29">
        <f>J21+J20</f>
        <v>13276280</v>
      </c>
      <c r="K83" s="29"/>
    </row>
    <row r="84" spans="1:11" ht="21" hidden="1">
      <c r="A84" s="2" t="s">
        <v>340</v>
      </c>
      <c r="B84" s="495">
        <v>311</v>
      </c>
      <c r="C84" s="495"/>
      <c r="D84" s="28">
        <f t="shared" si="8"/>
        <v>0</v>
      </c>
      <c r="E84" s="29"/>
      <c r="F84" s="29"/>
      <c r="G84" s="29"/>
      <c r="H84" s="29"/>
      <c r="I84" s="29"/>
      <c r="J84" s="29"/>
      <c r="K84" s="29"/>
    </row>
    <row r="85" spans="1:11" ht="21" hidden="1">
      <c r="A85" s="2"/>
      <c r="B85" s="495"/>
      <c r="C85" s="495"/>
      <c r="D85" s="28">
        <f t="shared" si="8"/>
        <v>0</v>
      </c>
      <c r="E85" s="29"/>
      <c r="F85" s="29"/>
      <c r="G85" s="29"/>
      <c r="H85" s="29"/>
      <c r="I85" s="29"/>
      <c r="J85" s="29"/>
      <c r="K85" s="29"/>
    </row>
    <row r="86" spans="1:23" s="25" customFormat="1" ht="36" customHeight="1">
      <c r="A86" s="10" t="s">
        <v>70</v>
      </c>
      <c r="B86" s="494">
        <v>400</v>
      </c>
      <c r="C86" s="494"/>
      <c r="D86" s="28">
        <f>SUM(D87:D89)</f>
        <v>38219479.99639</v>
      </c>
      <c r="E86" s="28">
        <f aca="true" t="shared" si="13" ref="E86:K86">SUM(E87:E89)</f>
        <v>2404599.99515</v>
      </c>
      <c r="F86" s="28"/>
      <c r="G86" s="28">
        <f t="shared" si="13"/>
        <v>278600</v>
      </c>
      <c r="H86" s="28">
        <f t="shared" si="13"/>
        <v>0</v>
      </c>
      <c r="I86" s="28">
        <f>SUM(I87:I89)</f>
        <v>22260000.00162</v>
      </c>
      <c r="J86" s="28">
        <f>SUM(J87:J89)</f>
        <v>13276279.99962</v>
      </c>
      <c r="K86" s="28">
        <f t="shared" si="13"/>
        <v>0</v>
      </c>
      <c r="N86" s="216"/>
      <c r="O86" s="216"/>
      <c r="P86" s="304"/>
      <c r="Q86" s="216"/>
      <c r="R86" s="304"/>
      <c r="S86" s="304"/>
      <c r="T86" s="304"/>
      <c r="U86" s="304"/>
      <c r="V86" s="284"/>
      <c r="W86" s="284"/>
    </row>
    <row r="87" spans="1:11" ht="37.5" customHeight="1">
      <c r="A87" s="2" t="s">
        <v>341</v>
      </c>
      <c r="B87" s="495">
        <v>410</v>
      </c>
      <c r="C87" s="495">
        <v>610</v>
      </c>
      <c r="D87" s="28">
        <f>D37</f>
        <v>38219479.99639</v>
      </c>
      <c r="E87" s="29">
        <f>E37</f>
        <v>2404599.99515</v>
      </c>
      <c r="F87" s="29"/>
      <c r="G87" s="29">
        <v>278600</v>
      </c>
      <c r="H87" s="29">
        <f>H37</f>
        <v>0</v>
      </c>
      <c r="I87" s="29">
        <f>I37</f>
        <v>22260000.00162</v>
      </c>
      <c r="J87" s="29">
        <f>J37</f>
        <v>13276279.99962</v>
      </c>
      <c r="K87" s="29"/>
    </row>
    <row r="88" spans="1:11" ht="21" hidden="1">
      <c r="A88" s="2" t="s">
        <v>342</v>
      </c>
      <c r="B88" s="495">
        <v>411</v>
      </c>
      <c r="C88" s="495"/>
      <c r="D88" s="28">
        <f t="shared" si="8"/>
        <v>0</v>
      </c>
      <c r="E88" s="29"/>
      <c r="F88" s="29"/>
      <c r="G88" s="29"/>
      <c r="H88" s="29"/>
      <c r="I88" s="29"/>
      <c r="J88" s="29"/>
      <c r="K88" s="29"/>
    </row>
    <row r="89" spans="1:11" ht="21" hidden="1">
      <c r="A89" s="2"/>
      <c r="B89" s="495"/>
      <c r="C89" s="495"/>
      <c r="D89" s="28">
        <f t="shared" si="8"/>
        <v>0</v>
      </c>
      <c r="E89" s="29"/>
      <c r="F89" s="29"/>
      <c r="G89" s="29"/>
      <c r="H89" s="29"/>
      <c r="I89" s="29"/>
      <c r="J89" s="29"/>
      <c r="K89" s="29"/>
    </row>
    <row r="90" spans="1:11" ht="33" customHeight="1">
      <c r="A90" s="10" t="s">
        <v>71</v>
      </c>
      <c r="B90" s="494">
        <v>500</v>
      </c>
      <c r="C90" s="494" t="s">
        <v>63</v>
      </c>
      <c r="D90" s="332">
        <f>D20+D21-D37</f>
        <v>0.0036100000143051147</v>
      </c>
      <c r="E90" s="332">
        <f>E20+E21-E37</f>
        <v>0.0048500001430511475</v>
      </c>
      <c r="F90" s="331"/>
      <c r="G90" s="332">
        <f>G20+G21-G37</f>
        <v>0</v>
      </c>
      <c r="H90" s="332">
        <f>H20+H21-H37+H82-H86</f>
        <v>0</v>
      </c>
      <c r="I90" s="332">
        <f>I20+I21-I37</f>
        <v>-0.0016199983656406403</v>
      </c>
      <c r="J90" s="332">
        <f>J20+J21-J37</f>
        <v>0.0003800000995397568</v>
      </c>
      <c r="K90" s="28">
        <f>K20+K21-K37+K82-K86</f>
        <v>0</v>
      </c>
    </row>
    <row r="91" spans="1:23" s="153" customFormat="1" ht="21">
      <c r="A91" s="219" t="s">
        <v>423</v>
      </c>
      <c r="B91" s="219"/>
      <c r="C91" s="219"/>
      <c r="D91" s="219"/>
      <c r="E91" s="220"/>
      <c r="F91" s="220"/>
      <c r="G91" s="220"/>
      <c r="H91" s="220"/>
      <c r="I91" s="410"/>
      <c r="J91" s="220"/>
      <c r="K91" s="220"/>
      <c r="N91" s="303"/>
      <c r="O91" s="303"/>
      <c r="P91" s="285"/>
      <c r="Q91" s="303"/>
      <c r="R91" s="285"/>
      <c r="S91" s="285"/>
      <c r="T91" s="285"/>
      <c r="U91" s="285"/>
      <c r="V91" s="283"/>
      <c r="W91" s="283"/>
    </row>
    <row r="92" ht="21">
      <c r="A92" s="20"/>
    </row>
    <row r="93" spans="1:23" s="3" customFormat="1" ht="21">
      <c r="A93" s="3" t="s">
        <v>589</v>
      </c>
      <c r="D93" s="3" t="s">
        <v>390</v>
      </c>
      <c r="G93" s="3" t="s">
        <v>754</v>
      </c>
      <c r="N93" s="183"/>
      <c r="O93" s="183"/>
      <c r="P93" s="307"/>
      <c r="Q93" s="183"/>
      <c r="R93" s="307"/>
      <c r="S93" s="307"/>
      <c r="T93" s="307"/>
      <c r="U93" s="307"/>
      <c r="V93" s="286"/>
      <c r="W93" s="286"/>
    </row>
    <row r="94" spans="1:23" s="3" customFormat="1" ht="21">
      <c r="A94" s="3" t="str">
        <f>таб1!A48</f>
        <v>тел.   8(86168) 5-37-62                                         (подпись)                                               (расшифровка подписи)</v>
      </c>
      <c r="G94" s="3" t="s">
        <v>402</v>
      </c>
      <c r="N94" s="183"/>
      <c r="O94" s="183"/>
      <c r="P94" s="307"/>
      <c r="Q94" s="183"/>
      <c r="R94" s="307"/>
      <c r="S94" s="307"/>
      <c r="T94" s="307"/>
      <c r="U94" s="307"/>
      <c r="V94" s="286"/>
      <c r="W94" s="286"/>
    </row>
    <row r="95" spans="4:23" s="3" customFormat="1" ht="21">
      <c r="D95" s="61"/>
      <c r="N95" s="183"/>
      <c r="O95" s="183"/>
      <c r="P95" s="307"/>
      <c r="Q95" s="183"/>
      <c r="R95" s="307"/>
      <c r="S95" s="307"/>
      <c r="T95" s="307"/>
      <c r="U95" s="307"/>
      <c r="V95" s="286"/>
      <c r="W95" s="286"/>
    </row>
    <row r="96" spans="1:23" s="3" customFormat="1" ht="21">
      <c r="A96" s="3" t="s">
        <v>245</v>
      </c>
      <c r="D96" s="61" t="s">
        <v>390</v>
      </c>
      <c r="G96" s="3" t="s">
        <v>598</v>
      </c>
      <c r="N96" s="183"/>
      <c r="O96" s="183"/>
      <c r="P96" s="307"/>
      <c r="Q96" s="183"/>
      <c r="R96" s="307"/>
      <c r="S96" s="307"/>
      <c r="T96" s="307"/>
      <c r="U96" s="307"/>
      <c r="V96" s="286"/>
      <c r="W96" s="286"/>
    </row>
    <row r="97" spans="1:23" s="3" customFormat="1" ht="21">
      <c r="A97" s="3" t="str">
        <f>A94</f>
        <v>тел.   8(86168) 5-37-62                                         (подпись)                                               (расшифровка подписи)</v>
      </c>
      <c r="D97" s="3" t="s">
        <v>29</v>
      </c>
      <c r="G97" s="3" t="s">
        <v>402</v>
      </c>
      <c r="N97" s="183"/>
      <c r="O97" s="183"/>
      <c r="P97" s="307"/>
      <c r="Q97" s="183"/>
      <c r="R97" s="307"/>
      <c r="S97" s="307"/>
      <c r="T97" s="307"/>
      <c r="U97" s="307"/>
      <c r="V97" s="286"/>
      <c r="W97" s="286"/>
    </row>
    <row r="98" spans="4:23" s="3" customFormat="1" ht="21">
      <c r="D98" s="61"/>
      <c r="N98" s="183"/>
      <c r="O98" s="183"/>
      <c r="P98" s="307"/>
      <c r="Q98" s="183"/>
      <c r="R98" s="307"/>
      <c r="S98" s="307"/>
      <c r="T98" s="307"/>
      <c r="U98" s="307"/>
      <c r="V98" s="286"/>
      <c r="W98" s="286"/>
    </row>
    <row r="99" spans="1:23" s="3" customFormat="1" ht="21">
      <c r="A99" s="3" t="s">
        <v>391</v>
      </c>
      <c r="D99" s="61"/>
      <c r="N99" s="183"/>
      <c r="O99" s="183"/>
      <c r="P99" s="307"/>
      <c r="Q99" s="183"/>
      <c r="R99" s="307"/>
      <c r="S99" s="307"/>
      <c r="T99" s="307"/>
      <c r="U99" s="307"/>
      <c r="V99" s="286"/>
      <c r="W99" s="286"/>
    </row>
  </sheetData>
  <sheetProtection/>
  <mergeCells count="15">
    <mergeCell ref="D8:G8"/>
    <mergeCell ref="A4:K4"/>
    <mergeCell ref="A7:K7"/>
    <mergeCell ref="A9:A18"/>
    <mergeCell ref="B9:B18"/>
    <mergeCell ref="C9:C18"/>
    <mergeCell ref="D9:K9"/>
    <mergeCell ref="D10:D18"/>
    <mergeCell ref="E10:K10"/>
    <mergeCell ref="E11:E18"/>
    <mergeCell ref="G11:G18"/>
    <mergeCell ref="H11:H18"/>
    <mergeCell ref="I11:I18"/>
    <mergeCell ref="J11:K17"/>
    <mergeCell ref="F11:F18"/>
  </mergeCells>
  <printOptions/>
  <pageMargins left="0.03937007874015748" right="0.03937007874015748" top="0.7480314960629921" bottom="0.03937007874015748" header="0.31496062992125984" footer="0.31496062992125984"/>
  <pageSetup fitToHeight="3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99"/>
  <sheetViews>
    <sheetView showZeros="0" view="pageBreakPreview" zoomScale="60" zoomScalePageLayoutView="0" workbookViewId="0" topLeftCell="A76">
      <selection activeCell="G94" sqref="G94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12.140625" style="6" customWidth="1"/>
    <col min="4" max="4" width="26.28125" style="25" customWidth="1"/>
    <col min="5" max="5" width="20.8515625" style="6" customWidth="1"/>
    <col min="6" max="6" width="22.7109375" style="6" customWidth="1"/>
    <col min="7" max="7" width="17.8515625" style="6" customWidth="1"/>
    <col min="8" max="8" width="12.7109375" style="6" customWidth="1"/>
    <col min="9" max="9" width="19.421875" style="6" customWidth="1"/>
    <col min="10" max="10" width="28.7109375" style="6" customWidth="1"/>
    <col min="11" max="11" width="11.57421875" style="6" customWidth="1"/>
    <col min="12" max="13" width="9.140625" style="6" customWidth="1"/>
    <col min="14" max="15" width="9.140625" style="26" customWidth="1"/>
    <col min="16" max="16" width="32.7109375" style="285" customWidth="1"/>
    <col min="17" max="17" width="9.140625" style="26" customWidth="1"/>
    <col min="18" max="18" width="24.7109375" style="285" customWidth="1"/>
    <col min="19" max="21" width="18.421875" style="285" customWidth="1"/>
    <col min="22" max="23" width="18.421875" style="283" customWidth="1"/>
    <col min="24" max="16384" width="9.140625" style="6" customWidth="1"/>
  </cols>
  <sheetData>
    <row r="1" spans="1:11" ht="21">
      <c r="A1" s="14"/>
      <c r="D1" s="6"/>
      <c r="K1" s="11" t="s">
        <v>133</v>
      </c>
    </row>
    <row r="2" ht="21">
      <c r="A2" s="19"/>
    </row>
    <row r="3" ht="21">
      <c r="A3" s="20"/>
    </row>
    <row r="4" spans="1:11" ht="21">
      <c r="A4" s="576" t="s">
        <v>96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</row>
    <row r="5" spans="1:11" ht="21">
      <c r="A5" s="493"/>
      <c r="B5" s="493"/>
      <c r="C5" s="493"/>
      <c r="D5" s="498"/>
      <c r="E5" s="489" t="s">
        <v>716</v>
      </c>
      <c r="F5" s="489"/>
      <c r="G5" s="498"/>
      <c r="H5" s="493"/>
      <c r="I5" s="493"/>
      <c r="J5" s="493"/>
      <c r="K5" s="493"/>
    </row>
    <row r="6" spans="1:11" ht="21">
      <c r="A6" s="493"/>
      <c r="B6" s="493"/>
      <c r="C6" s="493"/>
      <c r="D6" s="493"/>
      <c r="E6" s="492" t="s">
        <v>344</v>
      </c>
      <c r="F6" s="492"/>
      <c r="G6" s="493"/>
      <c r="H6" s="493"/>
      <c r="I6" s="493"/>
      <c r="J6" s="493"/>
      <c r="K6" s="493"/>
    </row>
    <row r="7" spans="1:11" ht="21">
      <c r="A7" s="577" t="s">
        <v>749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7" ht="17.25" customHeight="1">
      <c r="A8" s="20"/>
      <c r="D8" s="575"/>
      <c r="E8" s="575"/>
      <c r="F8" s="575"/>
      <c r="G8" s="575"/>
    </row>
    <row r="9" spans="1:11" ht="21">
      <c r="A9" s="578" t="s">
        <v>20</v>
      </c>
      <c r="B9" s="579" t="s">
        <v>56</v>
      </c>
      <c r="C9" s="580" t="s">
        <v>72</v>
      </c>
      <c r="D9" s="559" t="s">
        <v>74</v>
      </c>
      <c r="E9" s="560"/>
      <c r="F9" s="560"/>
      <c r="G9" s="560"/>
      <c r="H9" s="560"/>
      <c r="I9" s="560"/>
      <c r="J9" s="560"/>
      <c r="K9" s="561"/>
    </row>
    <row r="10" spans="1:11" ht="21">
      <c r="A10" s="578"/>
      <c r="B10" s="579"/>
      <c r="C10" s="581"/>
      <c r="D10" s="562" t="s">
        <v>95</v>
      </c>
      <c r="E10" s="563" t="s">
        <v>21</v>
      </c>
      <c r="F10" s="564"/>
      <c r="G10" s="564"/>
      <c r="H10" s="564"/>
      <c r="I10" s="564"/>
      <c r="J10" s="564"/>
      <c r="K10" s="565"/>
    </row>
    <row r="11" spans="1:11" ht="21">
      <c r="A11" s="578"/>
      <c r="B11" s="579"/>
      <c r="C11" s="581"/>
      <c r="D11" s="562"/>
      <c r="E11" s="566" t="s">
        <v>73</v>
      </c>
      <c r="F11" s="566" t="s">
        <v>559</v>
      </c>
      <c r="G11" s="569" t="s">
        <v>75</v>
      </c>
      <c r="H11" s="566" t="s">
        <v>76</v>
      </c>
      <c r="I11" s="566" t="s">
        <v>77</v>
      </c>
      <c r="J11" s="569" t="s">
        <v>78</v>
      </c>
      <c r="K11" s="572"/>
    </row>
    <row r="12" spans="1:11" ht="15" customHeight="1">
      <c r="A12" s="578"/>
      <c r="B12" s="579"/>
      <c r="C12" s="581"/>
      <c r="D12" s="562"/>
      <c r="E12" s="567"/>
      <c r="F12" s="567"/>
      <c r="G12" s="570"/>
      <c r="H12" s="567"/>
      <c r="I12" s="567"/>
      <c r="J12" s="570"/>
      <c r="K12" s="573"/>
    </row>
    <row r="13" spans="1:11" ht="15" customHeight="1">
      <c r="A13" s="578"/>
      <c r="B13" s="579"/>
      <c r="C13" s="581"/>
      <c r="D13" s="562"/>
      <c r="E13" s="567"/>
      <c r="F13" s="567"/>
      <c r="G13" s="570"/>
      <c r="H13" s="567"/>
      <c r="I13" s="567"/>
      <c r="J13" s="570"/>
      <c r="K13" s="573"/>
    </row>
    <row r="14" spans="1:11" ht="21">
      <c r="A14" s="578"/>
      <c r="B14" s="579"/>
      <c r="C14" s="581"/>
      <c r="D14" s="562"/>
      <c r="E14" s="567"/>
      <c r="F14" s="567"/>
      <c r="G14" s="570"/>
      <c r="H14" s="567"/>
      <c r="I14" s="567"/>
      <c r="J14" s="570"/>
      <c r="K14" s="573"/>
    </row>
    <row r="15" spans="1:11" ht="21">
      <c r="A15" s="578"/>
      <c r="B15" s="579"/>
      <c r="C15" s="581"/>
      <c r="D15" s="562"/>
      <c r="E15" s="567"/>
      <c r="F15" s="567"/>
      <c r="G15" s="570"/>
      <c r="H15" s="567"/>
      <c r="I15" s="567"/>
      <c r="J15" s="570"/>
      <c r="K15" s="573"/>
    </row>
    <row r="16" spans="1:11" ht="21">
      <c r="A16" s="578"/>
      <c r="B16" s="579"/>
      <c r="C16" s="581"/>
      <c r="D16" s="562"/>
      <c r="E16" s="567"/>
      <c r="F16" s="567"/>
      <c r="G16" s="570"/>
      <c r="H16" s="567"/>
      <c r="I16" s="567"/>
      <c r="J16" s="570"/>
      <c r="K16" s="573"/>
    </row>
    <row r="17" spans="1:11" ht="33.75" customHeight="1">
      <c r="A17" s="578"/>
      <c r="B17" s="579"/>
      <c r="C17" s="581"/>
      <c r="D17" s="562"/>
      <c r="E17" s="567"/>
      <c r="F17" s="567"/>
      <c r="G17" s="570"/>
      <c r="H17" s="567"/>
      <c r="I17" s="567"/>
      <c r="J17" s="571"/>
      <c r="K17" s="574"/>
    </row>
    <row r="18" spans="1:11" ht="70.5" customHeight="1">
      <c r="A18" s="578"/>
      <c r="B18" s="579"/>
      <c r="C18" s="582"/>
      <c r="D18" s="562"/>
      <c r="E18" s="568"/>
      <c r="F18" s="568"/>
      <c r="G18" s="571"/>
      <c r="H18" s="568"/>
      <c r="I18" s="568"/>
      <c r="J18" s="495" t="s">
        <v>57</v>
      </c>
      <c r="K18" s="495" t="s">
        <v>58</v>
      </c>
    </row>
    <row r="19" spans="1:23" s="153" customFormat="1" ht="21">
      <c r="A19" s="495">
        <v>1</v>
      </c>
      <c r="B19" s="495">
        <v>2</v>
      </c>
      <c r="C19" s="495">
        <v>3</v>
      </c>
      <c r="D19" s="495">
        <v>4</v>
      </c>
      <c r="E19" s="495">
        <v>5</v>
      </c>
      <c r="F19" s="495" t="s">
        <v>558</v>
      </c>
      <c r="G19" s="495">
        <v>6</v>
      </c>
      <c r="H19" s="495">
        <v>7</v>
      </c>
      <c r="I19" s="495">
        <v>8</v>
      </c>
      <c r="J19" s="495">
        <v>9</v>
      </c>
      <c r="K19" s="495">
        <v>10</v>
      </c>
      <c r="N19" s="303"/>
      <c r="O19" s="303"/>
      <c r="P19" s="285"/>
      <c r="Q19" s="303"/>
      <c r="R19" s="285"/>
      <c r="S19" s="285"/>
      <c r="T19" s="285"/>
      <c r="U19" s="285"/>
      <c r="V19" s="283"/>
      <c r="W19" s="283"/>
    </row>
    <row r="20" spans="1:23" s="25" customFormat="1" ht="34.5">
      <c r="A20" s="10" t="s">
        <v>79</v>
      </c>
      <c r="B20" s="27" t="s">
        <v>81</v>
      </c>
      <c r="C20" s="494" t="s">
        <v>60</v>
      </c>
      <c r="D20" s="28">
        <v>0</v>
      </c>
      <c r="E20" s="28">
        <v>0</v>
      </c>
      <c r="F20" s="28"/>
      <c r="G20" s="28">
        <v>0</v>
      </c>
      <c r="H20" s="28"/>
      <c r="I20" s="28">
        <v>0</v>
      </c>
      <c r="J20" s="28">
        <v>0</v>
      </c>
      <c r="K20" s="28"/>
      <c r="N20" s="216"/>
      <c r="O20" s="216"/>
      <c r="P20" s="304"/>
      <c r="Q20" s="216"/>
      <c r="R20" s="304"/>
      <c r="S20" s="304"/>
      <c r="T20" s="304"/>
      <c r="U20" s="304"/>
      <c r="V20" s="284"/>
      <c r="W20" s="284"/>
    </row>
    <row r="21" spans="1:11" ht="21">
      <c r="A21" s="10" t="s">
        <v>84</v>
      </c>
      <c r="B21" s="494">
        <v>100</v>
      </c>
      <c r="C21" s="494" t="s">
        <v>63</v>
      </c>
      <c r="D21" s="28">
        <f>E21+G21+H21+I21+J21</f>
        <v>38443680</v>
      </c>
      <c r="E21" s="28">
        <f aca="true" t="shared" si="0" ref="E21:K21">SUM(E22:E36)</f>
        <v>2404600</v>
      </c>
      <c r="F21" s="28"/>
      <c r="G21" s="28">
        <f t="shared" si="0"/>
        <v>502800</v>
      </c>
      <c r="H21" s="28">
        <f t="shared" si="0"/>
        <v>0</v>
      </c>
      <c r="I21" s="28">
        <f t="shared" si="0"/>
        <v>22260000</v>
      </c>
      <c r="J21" s="28">
        <f>SUM(J22:J36)</f>
        <v>13276280</v>
      </c>
      <c r="K21" s="28">
        <f t="shared" si="0"/>
        <v>0</v>
      </c>
    </row>
    <row r="22" spans="1:11" ht="54" hidden="1">
      <c r="A22" s="2" t="s">
        <v>61</v>
      </c>
      <c r="B22" s="22" t="s">
        <v>82</v>
      </c>
      <c r="C22" s="495">
        <v>180</v>
      </c>
      <c r="D22" s="28"/>
      <c r="E22" s="29"/>
      <c r="F22" s="29"/>
      <c r="G22" s="29"/>
      <c r="H22" s="29"/>
      <c r="I22" s="29"/>
      <c r="J22" s="29"/>
      <c r="K22" s="29"/>
    </row>
    <row r="23" spans="1:11" ht="108" hidden="1">
      <c r="A23" s="2" t="s">
        <v>62</v>
      </c>
      <c r="B23" s="22" t="s">
        <v>83</v>
      </c>
      <c r="C23" s="495">
        <v>130</v>
      </c>
      <c r="D23" s="28"/>
      <c r="E23" s="29"/>
      <c r="F23" s="29"/>
      <c r="G23" s="29"/>
      <c r="H23" s="29"/>
      <c r="I23" s="29"/>
      <c r="J23" s="29"/>
      <c r="K23" s="29"/>
    </row>
    <row r="24" spans="1:11" ht="21" hidden="1">
      <c r="A24" s="2" t="s">
        <v>306</v>
      </c>
      <c r="B24" s="495">
        <v>110</v>
      </c>
      <c r="C24" s="495">
        <v>120</v>
      </c>
      <c r="D24" s="28">
        <f aca="true" t="shared" si="1" ref="D24:D36">SUM(E24:J24)</f>
        <v>0</v>
      </c>
      <c r="E24" s="495" t="s">
        <v>63</v>
      </c>
      <c r="F24" s="495"/>
      <c r="G24" s="495" t="s">
        <v>63</v>
      </c>
      <c r="H24" s="495" t="s">
        <v>63</v>
      </c>
      <c r="I24" s="495" t="s">
        <v>63</v>
      </c>
      <c r="J24" s="495"/>
      <c r="K24" s="495" t="s">
        <v>63</v>
      </c>
    </row>
    <row r="25" spans="1:11" ht="72" hidden="1">
      <c r="A25" s="24" t="s">
        <v>85</v>
      </c>
      <c r="B25" s="495">
        <v>111</v>
      </c>
      <c r="C25" s="495">
        <v>120</v>
      </c>
      <c r="D25" s="28">
        <f t="shared" si="1"/>
        <v>0</v>
      </c>
      <c r="E25" s="495"/>
      <c r="F25" s="495"/>
      <c r="G25" s="495"/>
      <c r="H25" s="495"/>
      <c r="I25" s="495"/>
      <c r="J25" s="495"/>
      <c r="K25" s="495"/>
    </row>
    <row r="26" spans="1:11" ht="21" hidden="1">
      <c r="A26" s="24"/>
      <c r="B26" s="23"/>
      <c r="C26" s="23"/>
      <c r="D26" s="28">
        <f t="shared" si="1"/>
        <v>0</v>
      </c>
      <c r="E26" s="495"/>
      <c r="F26" s="495"/>
      <c r="G26" s="495"/>
      <c r="H26" s="495"/>
      <c r="I26" s="495"/>
      <c r="J26" s="495"/>
      <c r="K26" s="495"/>
    </row>
    <row r="27" spans="1:11" ht="36">
      <c r="A27" s="2" t="s">
        <v>86</v>
      </c>
      <c r="B27" s="495">
        <v>120</v>
      </c>
      <c r="C27" s="495">
        <v>130</v>
      </c>
      <c r="D27" s="28">
        <f t="shared" si="1"/>
        <v>37940880</v>
      </c>
      <c r="E27" s="290">
        <v>2404600</v>
      </c>
      <c r="F27" s="290"/>
      <c r="G27" s="495" t="s">
        <v>63</v>
      </c>
      <c r="H27" s="495" t="s">
        <v>63</v>
      </c>
      <c r="I27" s="290">
        <v>22260000</v>
      </c>
      <c r="J27" s="290">
        <v>13276280</v>
      </c>
      <c r="K27" s="495"/>
    </row>
    <row r="28" spans="1:11" ht="54" hidden="1">
      <c r="A28" s="2" t="s">
        <v>87</v>
      </c>
      <c r="B28" s="495">
        <v>130</v>
      </c>
      <c r="C28" s="495">
        <v>140</v>
      </c>
      <c r="D28" s="28">
        <f t="shared" si="1"/>
        <v>0</v>
      </c>
      <c r="E28" s="495" t="s">
        <v>63</v>
      </c>
      <c r="F28" s="495"/>
      <c r="G28" s="495" t="s">
        <v>63</v>
      </c>
      <c r="H28" s="495" t="s">
        <v>63</v>
      </c>
      <c r="I28" s="495" t="s">
        <v>63</v>
      </c>
      <c r="J28" s="495"/>
      <c r="K28" s="495" t="s">
        <v>63</v>
      </c>
    </row>
    <row r="29" spans="1:11" ht="99" customHeight="1" hidden="1">
      <c r="A29" s="2" t="s">
        <v>88</v>
      </c>
      <c r="B29" s="495">
        <v>140</v>
      </c>
      <c r="C29" s="495">
        <v>150</v>
      </c>
      <c r="D29" s="28">
        <f t="shared" si="1"/>
        <v>0</v>
      </c>
      <c r="E29" s="495" t="s">
        <v>63</v>
      </c>
      <c r="F29" s="495"/>
      <c r="G29" s="495" t="s">
        <v>63</v>
      </c>
      <c r="H29" s="495" t="s">
        <v>63</v>
      </c>
      <c r="I29" s="495" t="s">
        <v>63</v>
      </c>
      <c r="J29" s="495"/>
      <c r="K29" s="495" t="s">
        <v>63</v>
      </c>
    </row>
    <row r="30" spans="1:11" ht="36">
      <c r="A30" s="2" t="s">
        <v>89</v>
      </c>
      <c r="B30" s="495">
        <v>150</v>
      </c>
      <c r="C30" s="495">
        <v>180</v>
      </c>
      <c r="D30" s="28">
        <f t="shared" si="1"/>
        <v>502800</v>
      </c>
      <c r="E30" s="495" t="s">
        <v>63</v>
      </c>
      <c r="F30" s="495"/>
      <c r="G30" s="29">
        <v>502800</v>
      </c>
      <c r="H30" s="495"/>
      <c r="I30" s="495" t="s">
        <v>63</v>
      </c>
      <c r="J30" s="495" t="s">
        <v>63</v>
      </c>
      <c r="K30" s="495" t="s">
        <v>63</v>
      </c>
    </row>
    <row r="31" spans="1:11" ht="21" hidden="1">
      <c r="A31" s="2" t="s">
        <v>90</v>
      </c>
      <c r="B31" s="495">
        <v>160</v>
      </c>
      <c r="C31" s="495">
        <v>180</v>
      </c>
      <c r="D31" s="28">
        <f t="shared" si="1"/>
        <v>0</v>
      </c>
      <c r="E31" s="495" t="s">
        <v>63</v>
      </c>
      <c r="F31" s="495"/>
      <c r="G31" s="495" t="s">
        <v>63</v>
      </c>
      <c r="H31" s="495" t="s">
        <v>63</v>
      </c>
      <c r="I31" s="495" t="s">
        <v>63</v>
      </c>
      <c r="J31" s="495"/>
      <c r="K31" s="495"/>
    </row>
    <row r="32" spans="1:11" ht="49.5" customHeight="1" hidden="1">
      <c r="A32" s="2" t="s">
        <v>91</v>
      </c>
      <c r="B32" s="495">
        <v>180</v>
      </c>
      <c r="C32" s="495" t="s">
        <v>63</v>
      </c>
      <c r="D32" s="28">
        <f t="shared" si="1"/>
        <v>0</v>
      </c>
      <c r="E32" s="495" t="s">
        <v>63</v>
      </c>
      <c r="F32" s="495"/>
      <c r="G32" s="495" t="s">
        <v>63</v>
      </c>
      <c r="H32" s="495" t="s">
        <v>63</v>
      </c>
      <c r="I32" s="495" t="s">
        <v>63</v>
      </c>
      <c r="J32" s="495"/>
      <c r="K32" s="495" t="s">
        <v>63</v>
      </c>
    </row>
    <row r="33" spans="1:11" ht="36" hidden="1">
      <c r="A33" s="24" t="s">
        <v>92</v>
      </c>
      <c r="B33" s="495">
        <v>181</v>
      </c>
      <c r="C33" s="495">
        <v>410</v>
      </c>
      <c r="D33" s="28">
        <f t="shared" si="1"/>
        <v>0</v>
      </c>
      <c r="E33" s="495"/>
      <c r="F33" s="495"/>
      <c r="G33" s="495"/>
      <c r="H33" s="495"/>
      <c r="I33" s="495"/>
      <c r="J33" s="495"/>
      <c r="K33" s="495"/>
    </row>
    <row r="34" spans="1:18" ht="36" hidden="1">
      <c r="A34" s="24" t="s">
        <v>93</v>
      </c>
      <c r="B34" s="495">
        <v>182</v>
      </c>
      <c r="C34" s="495">
        <v>420</v>
      </c>
      <c r="D34" s="28">
        <f t="shared" si="1"/>
        <v>0</v>
      </c>
      <c r="E34" s="495"/>
      <c r="F34" s="495"/>
      <c r="G34" s="495"/>
      <c r="H34" s="495"/>
      <c r="I34" s="495"/>
      <c r="J34" s="495"/>
      <c r="K34" s="495"/>
      <c r="P34" s="305"/>
      <c r="R34" s="305"/>
    </row>
    <row r="35" spans="1:18" ht="36" hidden="1">
      <c r="A35" s="24" t="s">
        <v>94</v>
      </c>
      <c r="B35" s="495">
        <v>183</v>
      </c>
      <c r="C35" s="495">
        <v>440</v>
      </c>
      <c r="D35" s="28">
        <f t="shared" si="1"/>
        <v>0</v>
      </c>
      <c r="E35" s="495"/>
      <c r="F35" s="495"/>
      <c r="G35" s="495"/>
      <c r="H35" s="495"/>
      <c r="I35" s="495"/>
      <c r="J35" s="495"/>
      <c r="K35" s="495"/>
      <c r="P35" s="296"/>
      <c r="Q35" s="306"/>
      <c r="R35" s="296"/>
    </row>
    <row r="36" spans="1:11" ht="21" hidden="1">
      <c r="A36" s="2"/>
      <c r="B36" s="495"/>
      <c r="C36" s="495"/>
      <c r="D36" s="28">
        <f t="shared" si="1"/>
        <v>0</v>
      </c>
      <c r="E36" s="495"/>
      <c r="F36" s="495"/>
      <c r="G36" s="495"/>
      <c r="H36" s="495"/>
      <c r="I36" s="495"/>
      <c r="J36" s="495"/>
      <c r="K36" s="495"/>
    </row>
    <row r="37" spans="1:23" s="26" customFormat="1" ht="21">
      <c r="A37" s="30" t="s">
        <v>64</v>
      </c>
      <c r="B37" s="31">
        <v>200</v>
      </c>
      <c r="C37" s="31" t="s">
        <v>63</v>
      </c>
      <c r="D37" s="32">
        <f>D38+D45+D52++D61+D63+D68+D69+D70</f>
        <v>38443679.99639</v>
      </c>
      <c r="E37" s="32">
        <f aca="true" t="shared" si="2" ref="E37:K37">E38+E45+E52++E61+E63+E68+E69+E70</f>
        <v>2404599.99515</v>
      </c>
      <c r="F37" s="32"/>
      <c r="G37" s="32">
        <f t="shared" si="2"/>
        <v>502800</v>
      </c>
      <c r="H37" s="32">
        <f t="shared" si="2"/>
        <v>0</v>
      </c>
      <c r="I37" s="32">
        <f t="shared" si="2"/>
        <v>22260000.00162</v>
      </c>
      <c r="J37" s="32">
        <f>J38+J45+J52++J61+J63+J68+J69+J70</f>
        <v>13276279.99962</v>
      </c>
      <c r="K37" s="32">
        <f t="shared" si="2"/>
        <v>0</v>
      </c>
      <c r="P37" s="296"/>
      <c r="R37" s="296"/>
      <c r="S37" s="285"/>
      <c r="T37" s="285"/>
      <c r="U37" s="285"/>
      <c r="V37" s="285"/>
      <c r="W37" s="285"/>
    </row>
    <row r="38" spans="1:23" s="26" customFormat="1" ht="36">
      <c r="A38" s="33" t="s">
        <v>307</v>
      </c>
      <c r="B38" s="31">
        <v>210</v>
      </c>
      <c r="C38" s="31">
        <v>100</v>
      </c>
      <c r="D38" s="32">
        <f>D39+D41+D42</f>
        <v>27987587.39</v>
      </c>
      <c r="E38" s="317">
        <f aca="true" t="shared" si="3" ref="E38:K38">E39+E41+E42</f>
        <v>1766999.996</v>
      </c>
      <c r="F38" s="317"/>
      <c r="G38" s="34">
        <f>G39+G41+G42</f>
        <v>242000</v>
      </c>
      <c r="H38" s="34">
        <f t="shared" si="3"/>
        <v>0</v>
      </c>
      <c r="I38" s="374">
        <f t="shared" si="3"/>
        <v>17922350.392</v>
      </c>
      <c r="J38" s="34">
        <f>J39+J41+J42</f>
        <v>8056237.002</v>
      </c>
      <c r="K38" s="34">
        <f t="shared" si="3"/>
        <v>0</v>
      </c>
      <c r="P38" s="305"/>
      <c r="R38" s="305"/>
      <c r="S38" s="285"/>
      <c r="T38" s="285"/>
      <c r="U38" s="285"/>
      <c r="V38" s="285"/>
      <c r="W38" s="285"/>
    </row>
    <row r="39" spans="1:23" s="26" customFormat="1" ht="54">
      <c r="A39" s="33" t="s">
        <v>308</v>
      </c>
      <c r="B39" s="31">
        <v>211</v>
      </c>
      <c r="C39" s="31">
        <v>111.119</v>
      </c>
      <c r="D39" s="32">
        <f>D40+D43</f>
        <v>27671021</v>
      </c>
      <c r="E39" s="317">
        <f>E40+E43</f>
        <v>1766999.996</v>
      </c>
      <c r="F39" s="317"/>
      <c r="G39" s="34">
        <f>G40+G43</f>
        <v>0</v>
      </c>
      <c r="H39" s="34">
        <f>H40+H43</f>
        <v>0</v>
      </c>
      <c r="I39" s="374">
        <f>I40+I43</f>
        <v>17875784.002</v>
      </c>
      <c r="J39" s="34">
        <f>J40+J43</f>
        <v>8028237.002</v>
      </c>
      <c r="K39" s="34">
        <f>K40+K43</f>
        <v>0</v>
      </c>
      <c r="P39" s="285"/>
      <c r="R39" s="285"/>
      <c r="S39" s="285"/>
      <c r="T39" s="285"/>
      <c r="U39" s="285"/>
      <c r="V39" s="285"/>
      <c r="W39" s="285"/>
    </row>
    <row r="40" spans="1:23" s="26" customFormat="1" ht="21">
      <c r="A40" s="33" t="s">
        <v>309</v>
      </c>
      <c r="B40" s="31">
        <v>212</v>
      </c>
      <c r="C40" s="31">
        <v>111</v>
      </c>
      <c r="D40" s="28">
        <f>SUM(E40:J40)</f>
        <v>21252705</v>
      </c>
      <c r="E40" s="317">
        <f>'111 Б'!J32*1000</f>
        <v>1357143</v>
      </c>
      <c r="F40" s="317"/>
      <c r="G40" s="34"/>
      <c r="H40" s="34"/>
      <c r="I40" s="374">
        <f>'111 ОМС'!J32*1000</f>
        <v>13729481</v>
      </c>
      <c r="J40" s="317">
        <f>'111 ВнеБ(дополнит)'!J32*1000+'111 ВнеБ осн.'!J32*1000</f>
        <v>6166081</v>
      </c>
      <c r="K40" s="34"/>
      <c r="P40" s="285"/>
      <c r="R40" s="285"/>
      <c r="S40" s="285"/>
      <c r="T40" s="285"/>
      <c r="U40" s="285"/>
      <c r="V40" s="285"/>
      <c r="W40" s="285"/>
    </row>
    <row r="41" spans="1:23" s="26" customFormat="1" ht="82.5" customHeight="1">
      <c r="A41" s="35" t="s">
        <v>310</v>
      </c>
      <c r="B41" s="31">
        <v>213</v>
      </c>
      <c r="C41" s="31">
        <v>112</v>
      </c>
      <c r="D41" s="28">
        <f>SUM(E41:J41)</f>
        <v>316566.39</v>
      </c>
      <c r="E41" s="317">
        <f>'112.1Б'!F15</f>
        <v>0</v>
      </c>
      <c r="F41" s="317"/>
      <c r="G41" s="34">
        <f>242000</f>
        <v>242000</v>
      </c>
      <c r="H41" s="34"/>
      <c r="I41" s="374">
        <f>'266 ОМС'!F14</f>
        <v>46566.39</v>
      </c>
      <c r="J41" s="428">
        <f>'266 ВнеБ'!F14</f>
        <v>28000</v>
      </c>
      <c r="K41" s="34"/>
      <c r="P41" s="285"/>
      <c r="R41" s="285"/>
      <c r="S41" s="285"/>
      <c r="T41" s="285"/>
      <c r="U41" s="285"/>
      <c r="V41" s="285"/>
      <c r="W41" s="285"/>
    </row>
    <row r="42" spans="1:23" s="26" customFormat="1" ht="87.75" customHeight="1" hidden="1">
      <c r="A42" s="33" t="s">
        <v>311</v>
      </c>
      <c r="B42" s="31">
        <v>214</v>
      </c>
      <c r="C42" s="31">
        <v>113</v>
      </c>
      <c r="D42" s="28">
        <f>SUM(E42:J42)</f>
        <v>0</v>
      </c>
      <c r="E42" s="317"/>
      <c r="F42" s="317"/>
      <c r="G42" s="34"/>
      <c r="H42" s="34"/>
      <c r="I42" s="317"/>
      <c r="J42" s="428"/>
      <c r="K42" s="34"/>
      <c r="P42" s="285"/>
      <c r="R42" s="285"/>
      <c r="S42" s="285"/>
      <c r="T42" s="285"/>
      <c r="U42" s="285"/>
      <c r="V42" s="285"/>
      <c r="W42" s="285"/>
    </row>
    <row r="43" spans="1:23" s="26" customFormat="1" ht="105.75" customHeight="1">
      <c r="A43" s="33" t="s">
        <v>312</v>
      </c>
      <c r="B43" s="31">
        <v>215</v>
      </c>
      <c r="C43" s="31">
        <v>119</v>
      </c>
      <c r="D43" s="28">
        <f>SUM(E43:J43)</f>
        <v>6418316</v>
      </c>
      <c r="E43" s="317">
        <f>'119 Б'!D22</f>
        <v>409856.99600000004</v>
      </c>
      <c r="F43" s="317"/>
      <c r="G43" s="34"/>
      <c r="H43" s="34"/>
      <c r="I43" s="317">
        <f>'119 ОМС'!D22</f>
        <v>4146303.0019999994</v>
      </c>
      <c r="J43" s="317">
        <f>'119 ВнеБ'!D22</f>
        <v>1862156.0019999999</v>
      </c>
      <c r="K43" s="34"/>
      <c r="P43" s="285"/>
      <c r="R43" s="285"/>
      <c r="S43" s="285"/>
      <c r="T43" s="285"/>
      <c r="U43" s="285"/>
      <c r="V43" s="285"/>
      <c r="W43" s="285"/>
    </row>
    <row r="44" spans="1:23" s="26" customFormat="1" ht="21" hidden="1">
      <c r="A44" s="33"/>
      <c r="B44" s="31"/>
      <c r="C44" s="31"/>
      <c r="D44" s="28">
        <f>SUM(E44:J44)</f>
        <v>0</v>
      </c>
      <c r="E44" s="317"/>
      <c r="F44" s="317"/>
      <c r="G44" s="34"/>
      <c r="H44" s="34"/>
      <c r="I44" s="317"/>
      <c r="J44" s="317"/>
      <c r="K44" s="34"/>
      <c r="P44" s="285"/>
      <c r="R44" s="285"/>
      <c r="S44" s="285"/>
      <c r="T44" s="285"/>
      <c r="U44" s="285"/>
      <c r="V44" s="285"/>
      <c r="W44" s="285"/>
    </row>
    <row r="45" spans="1:23" s="26" customFormat="1" ht="36" hidden="1">
      <c r="A45" s="33" t="s">
        <v>313</v>
      </c>
      <c r="B45" s="31">
        <v>220</v>
      </c>
      <c r="C45" s="31">
        <v>300</v>
      </c>
      <c r="D45" s="32">
        <f>D46+D48+D49+D50</f>
        <v>0</v>
      </c>
      <c r="E45" s="317">
        <f aca="true" t="shared" si="4" ref="E45:K45">E46+E48+E49+E50</f>
        <v>0</v>
      </c>
      <c r="F45" s="317"/>
      <c r="G45" s="34">
        <f t="shared" si="4"/>
        <v>0</v>
      </c>
      <c r="H45" s="34">
        <f t="shared" si="4"/>
        <v>0</v>
      </c>
      <c r="I45" s="317">
        <f t="shared" si="4"/>
        <v>0</v>
      </c>
      <c r="J45" s="317">
        <f t="shared" si="4"/>
        <v>0</v>
      </c>
      <c r="K45" s="34">
        <f t="shared" si="4"/>
        <v>0</v>
      </c>
      <c r="P45" s="285"/>
      <c r="R45" s="285"/>
      <c r="S45" s="285"/>
      <c r="T45" s="285"/>
      <c r="U45" s="285"/>
      <c r="V45" s="285"/>
      <c r="W45" s="285"/>
    </row>
    <row r="46" spans="1:23" s="26" customFormat="1" ht="65.25" customHeight="1" hidden="1">
      <c r="A46" s="33" t="s">
        <v>314</v>
      </c>
      <c r="B46" s="31">
        <v>221</v>
      </c>
      <c r="C46" s="31">
        <v>320</v>
      </c>
      <c r="D46" s="32">
        <f>D47</f>
        <v>0</v>
      </c>
      <c r="E46" s="317">
        <f aca="true" t="shared" si="5" ref="E46:K46">E47</f>
        <v>0</v>
      </c>
      <c r="F46" s="317"/>
      <c r="G46" s="34">
        <f t="shared" si="5"/>
        <v>0</v>
      </c>
      <c r="H46" s="34">
        <f t="shared" si="5"/>
        <v>0</v>
      </c>
      <c r="I46" s="317">
        <f t="shared" si="5"/>
        <v>0</v>
      </c>
      <c r="J46" s="317">
        <f t="shared" si="5"/>
        <v>0</v>
      </c>
      <c r="K46" s="34">
        <f t="shared" si="5"/>
        <v>0</v>
      </c>
      <c r="P46" s="285"/>
      <c r="R46" s="285"/>
      <c r="S46" s="285"/>
      <c r="T46" s="285"/>
      <c r="U46" s="285"/>
      <c r="V46" s="285"/>
      <c r="W46" s="285"/>
    </row>
    <row r="47" spans="1:23" s="26" customFormat="1" ht="63.75" customHeight="1" hidden="1">
      <c r="A47" s="33" t="s">
        <v>315</v>
      </c>
      <c r="B47" s="31">
        <v>222</v>
      </c>
      <c r="C47" s="31">
        <v>321</v>
      </c>
      <c r="D47" s="28">
        <f>SUM(E47:J47)</f>
        <v>0</v>
      </c>
      <c r="E47" s="317"/>
      <c r="F47" s="317"/>
      <c r="G47" s="34"/>
      <c r="H47" s="34"/>
      <c r="I47" s="317"/>
      <c r="J47" s="317"/>
      <c r="K47" s="34"/>
      <c r="P47" s="285"/>
      <c r="R47" s="285"/>
      <c r="S47" s="285"/>
      <c r="T47" s="285"/>
      <c r="U47" s="285"/>
      <c r="V47" s="285"/>
      <c r="W47" s="285"/>
    </row>
    <row r="48" spans="1:23" s="26" customFormat="1" ht="21" hidden="1">
      <c r="A48" s="33" t="s">
        <v>316</v>
      </c>
      <c r="B48" s="31">
        <v>223</v>
      </c>
      <c r="C48" s="31">
        <v>340</v>
      </c>
      <c r="D48" s="28">
        <f>SUM(E48:J48)</f>
        <v>0</v>
      </c>
      <c r="E48" s="317"/>
      <c r="F48" s="317"/>
      <c r="G48" s="34"/>
      <c r="H48" s="34"/>
      <c r="I48" s="317"/>
      <c r="J48" s="317"/>
      <c r="K48" s="34"/>
      <c r="P48" s="285"/>
      <c r="R48" s="285"/>
      <c r="S48" s="285"/>
      <c r="T48" s="285"/>
      <c r="U48" s="285"/>
      <c r="V48" s="285"/>
      <c r="W48" s="285"/>
    </row>
    <row r="49" spans="1:23" s="26" customFormat="1" ht="21" hidden="1">
      <c r="A49" s="33" t="s">
        <v>317</v>
      </c>
      <c r="B49" s="31">
        <v>224</v>
      </c>
      <c r="C49" s="31">
        <v>350</v>
      </c>
      <c r="D49" s="28">
        <f>SUM(E49:J49)</f>
        <v>0</v>
      </c>
      <c r="E49" s="317"/>
      <c r="F49" s="317"/>
      <c r="G49" s="34"/>
      <c r="H49" s="34"/>
      <c r="I49" s="317"/>
      <c r="J49" s="317"/>
      <c r="K49" s="34"/>
      <c r="P49" s="285"/>
      <c r="R49" s="285"/>
      <c r="S49" s="285"/>
      <c r="T49" s="285"/>
      <c r="U49" s="285"/>
      <c r="V49" s="285"/>
      <c r="W49" s="285"/>
    </row>
    <row r="50" spans="1:23" s="26" customFormat="1" ht="21" hidden="1">
      <c r="A50" s="33" t="s">
        <v>318</v>
      </c>
      <c r="B50" s="31">
        <v>225</v>
      </c>
      <c r="C50" s="31">
        <v>360</v>
      </c>
      <c r="D50" s="28">
        <f>SUM(E50:J50)</f>
        <v>0</v>
      </c>
      <c r="E50" s="317"/>
      <c r="F50" s="317"/>
      <c r="G50" s="34"/>
      <c r="H50" s="34"/>
      <c r="I50" s="317"/>
      <c r="J50" s="317"/>
      <c r="K50" s="34"/>
      <c r="P50" s="285"/>
      <c r="R50" s="285"/>
      <c r="S50" s="285"/>
      <c r="T50" s="285"/>
      <c r="U50" s="285"/>
      <c r="V50" s="285"/>
      <c r="W50" s="285"/>
    </row>
    <row r="51" spans="1:23" s="26" customFormat="1" ht="21" hidden="1">
      <c r="A51" s="35"/>
      <c r="B51" s="31"/>
      <c r="C51" s="31"/>
      <c r="D51" s="28">
        <f>SUM(E51:J51)</f>
        <v>0</v>
      </c>
      <c r="E51" s="317"/>
      <c r="F51" s="317"/>
      <c r="G51" s="34"/>
      <c r="H51" s="34"/>
      <c r="I51" s="317"/>
      <c r="J51" s="317"/>
      <c r="K51" s="34"/>
      <c r="P51" s="285"/>
      <c r="R51" s="285"/>
      <c r="S51" s="285"/>
      <c r="T51" s="285"/>
      <c r="U51" s="285"/>
      <c r="V51" s="285"/>
      <c r="W51" s="285"/>
    </row>
    <row r="52" spans="1:23" s="26" customFormat="1" ht="36">
      <c r="A52" s="33" t="s">
        <v>319</v>
      </c>
      <c r="B52" s="31">
        <v>226</v>
      </c>
      <c r="C52" s="31">
        <v>800</v>
      </c>
      <c r="D52" s="32">
        <f>D53+D55+D59</f>
        <v>73303.4</v>
      </c>
      <c r="E52" s="317">
        <f aca="true" t="shared" si="6" ref="E52:K52">E53+E55+E59</f>
        <v>0</v>
      </c>
      <c r="F52" s="317"/>
      <c r="G52" s="34"/>
      <c r="H52" s="34">
        <f t="shared" si="6"/>
        <v>0</v>
      </c>
      <c r="I52" s="317">
        <f t="shared" si="6"/>
        <v>61995.4</v>
      </c>
      <c r="J52" s="317">
        <f>J53+J55+J59</f>
        <v>11308</v>
      </c>
      <c r="K52" s="34">
        <f t="shared" si="6"/>
        <v>0</v>
      </c>
      <c r="P52" s="285"/>
      <c r="R52" s="285"/>
      <c r="S52" s="285"/>
      <c r="T52" s="285"/>
      <c r="U52" s="285"/>
      <c r="V52" s="285"/>
      <c r="W52" s="285"/>
    </row>
    <row r="53" spans="1:23" s="26" customFormat="1" ht="108" hidden="1">
      <c r="A53" s="35" t="s">
        <v>65</v>
      </c>
      <c r="B53" s="31">
        <v>227</v>
      </c>
      <c r="C53" s="31">
        <v>831</v>
      </c>
      <c r="D53" s="28">
        <f>SUM(E53:J53)</f>
        <v>0</v>
      </c>
      <c r="E53" s="317"/>
      <c r="F53" s="317"/>
      <c r="G53" s="34"/>
      <c r="H53" s="34"/>
      <c r="I53" s="317"/>
      <c r="J53" s="317"/>
      <c r="K53" s="34"/>
      <c r="P53" s="285"/>
      <c r="R53" s="285"/>
      <c r="S53" s="285"/>
      <c r="T53" s="285"/>
      <c r="U53" s="285"/>
      <c r="V53" s="285"/>
      <c r="W53" s="285"/>
    </row>
    <row r="54" spans="1:23" s="26" customFormat="1" ht="21" hidden="1">
      <c r="A54" s="33"/>
      <c r="B54" s="31"/>
      <c r="C54" s="31"/>
      <c r="D54" s="28">
        <f>SUM(E54:J54)</f>
        <v>0</v>
      </c>
      <c r="E54" s="317"/>
      <c r="F54" s="317"/>
      <c r="G54" s="34"/>
      <c r="H54" s="34"/>
      <c r="I54" s="317"/>
      <c r="J54" s="317"/>
      <c r="K54" s="34"/>
      <c r="P54" s="285"/>
      <c r="R54" s="285"/>
      <c r="S54" s="285"/>
      <c r="T54" s="285"/>
      <c r="U54" s="285"/>
      <c r="V54" s="285"/>
      <c r="W54" s="285"/>
    </row>
    <row r="55" spans="1:23" s="26" customFormat="1" ht="21">
      <c r="A55" s="33" t="s">
        <v>472</v>
      </c>
      <c r="B55" s="31">
        <v>230</v>
      </c>
      <c r="C55" s="31">
        <v>850</v>
      </c>
      <c r="D55" s="32">
        <f>SUM(D56:D58)</f>
        <v>73303.4</v>
      </c>
      <c r="E55" s="317">
        <f aca="true" t="shared" si="7" ref="E55:K55">SUM(E56:E58)</f>
        <v>0</v>
      </c>
      <c r="F55" s="317"/>
      <c r="G55" s="34">
        <f t="shared" si="7"/>
        <v>0</v>
      </c>
      <c r="H55" s="34">
        <f t="shared" si="7"/>
        <v>0</v>
      </c>
      <c r="I55" s="317">
        <f>SUM(I56:I58)</f>
        <v>61995.4</v>
      </c>
      <c r="J55" s="317">
        <f>SUM(J56:J58)</f>
        <v>11308</v>
      </c>
      <c r="K55" s="34">
        <f t="shared" si="7"/>
        <v>0</v>
      </c>
      <c r="P55" s="285"/>
      <c r="R55" s="285"/>
      <c r="S55" s="285"/>
      <c r="T55" s="285"/>
      <c r="U55" s="285"/>
      <c r="V55" s="285"/>
      <c r="W55" s="285"/>
    </row>
    <row r="56" spans="1:23" s="26" customFormat="1" ht="22.5" customHeight="1">
      <c r="A56" s="476" t="s">
        <v>695</v>
      </c>
      <c r="B56" s="477">
        <v>231</v>
      </c>
      <c r="C56" s="477">
        <v>851</v>
      </c>
      <c r="D56" s="318">
        <f aca="true" t="shared" si="8" ref="D56:D89">SUM(E56:J56)</f>
        <v>73303.4</v>
      </c>
      <c r="E56" s="317">
        <f>'290имБ'!F16</f>
        <v>0</v>
      </c>
      <c r="F56" s="317"/>
      <c r="G56" s="317"/>
      <c r="H56" s="317"/>
      <c r="I56" s="317">
        <f>'290имОМС'!E12+'290трОМС'!F27</f>
        <v>61995.4</v>
      </c>
      <c r="J56" s="317">
        <f>'290тр ВнеБ'!F29</f>
        <v>11308</v>
      </c>
      <c r="K56" s="34"/>
      <c r="P56" s="285"/>
      <c r="R56" s="285"/>
      <c r="S56" s="285"/>
      <c r="T56" s="285"/>
      <c r="U56" s="285"/>
      <c r="V56" s="285"/>
      <c r="W56" s="285"/>
    </row>
    <row r="57" spans="1:23" s="26" customFormat="1" ht="21" hidden="1">
      <c r="A57" s="33" t="s">
        <v>696</v>
      </c>
      <c r="B57" s="31">
        <v>232</v>
      </c>
      <c r="C57" s="31"/>
      <c r="D57" s="318">
        <f t="shared" si="8"/>
        <v>0</v>
      </c>
      <c r="E57" s="317">
        <f>'290трБ'!F27</f>
        <v>0</v>
      </c>
      <c r="F57" s="317"/>
      <c r="G57" s="317"/>
      <c r="H57" s="317"/>
      <c r="I57" s="317"/>
      <c r="J57" s="317"/>
      <c r="K57" s="34"/>
      <c r="P57" s="285"/>
      <c r="R57" s="285"/>
      <c r="S57" s="285"/>
      <c r="T57" s="285"/>
      <c r="U57" s="285"/>
      <c r="V57" s="285"/>
      <c r="W57" s="285"/>
    </row>
    <row r="58" spans="1:23" s="26" customFormat="1" ht="21" hidden="1">
      <c r="A58" s="33" t="s">
        <v>323</v>
      </c>
      <c r="B58" s="31">
        <v>233</v>
      </c>
      <c r="C58" s="31"/>
      <c r="D58" s="318">
        <f t="shared" si="8"/>
        <v>0</v>
      </c>
      <c r="E58" s="317"/>
      <c r="F58" s="317"/>
      <c r="G58" s="317"/>
      <c r="H58" s="317"/>
      <c r="I58" s="317"/>
      <c r="J58" s="317">
        <f>'290иные ВнеБ'!F28</f>
        <v>0</v>
      </c>
      <c r="K58" s="34"/>
      <c r="P58" s="285"/>
      <c r="R58" s="285"/>
      <c r="S58" s="285"/>
      <c r="T58" s="285"/>
      <c r="U58" s="285"/>
      <c r="V58" s="285"/>
      <c r="W58" s="285"/>
    </row>
    <row r="59" spans="1:23" s="26" customFormat="1" ht="72" hidden="1">
      <c r="A59" s="33" t="s">
        <v>66</v>
      </c>
      <c r="B59" s="31">
        <v>234</v>
      </c>
      <c r="C59" s="31">
        <v>860</v>
      </c>
      <c r="D59" s="318">
        <f t="shared" si="8"/>
        <v>0</v>
      </c>
      <c r="E59" s="317"/>
      <c r="F59" s="317"/>
      <c r="G59" s="317"/>
      <c r="H59" s="317"/>
      <c r="I59" s="317"/>
      <c r="J59" s="428"/>
      <c r="K59" s="34"/>
      <c r="P59" s="285"/>
      <c r="R59" s="285"/>
      <c r="S59" s="285"/>
      <c r="T59" s="285"/>
      <c r="U59" s="285"/>
      <c r="V59" s="285"/>
      <c r="W59" s="285"/>
    </row>
    <row r="60" spans="1:23" s="26" customFormat="1" ht="21" hidden="1">
      <c r="A60" s="33"/>
      <c r="B60" s="31"/>
      <c r="C60" s="31"/>
      <c r="D60" s="318">
        <f t="shared" si="8"/>
        <v>0</v>
      </c>
      <c r="E60" s="317"/>
      <c r="F60" s="317"/>
      <c r="G60" s="317"/>
      <c r="H60" s="317"/>
      <c r="I60" s="317"/>
      <c r="J60" s="428"/>
      <c r="K60" s="34"/>
      <c r="P60" s="285"/>
      <c r="R60" s="285"/>
      <c r="S60" s="285"/>
      <c r="T60" s="285"/>
      <c r="U60" s="285"/>
      <c r="V60" s="285"/>
      <c r="W60" s="285"/>
    </row>
    <row r="61" spans="1:23" s="26" customFormat="1" ht="33.75" customHeight="1" hidden="1">
      <c r="A61" s="33" t="s">
        <v>324</v>
      </c>
      <c r="B61" s="31">
        <v>240</v>
      </c>
      <c r="C61" s="31">
        <v>600</v>
      </c>
      <c r="D61" s="318">
        <f t="shared" si="8"/>
        <v>0</v>
      </c>
      <c r="E61" s="317"/>
      <c r="F61" s="317"/>
      <c r="G61" s="317"/>
      <c r="H61" s="317"/>
      <c r="I61" s="317"/>
      <c r="J61" s="428"/>
      <c r="K61" s="34"/>
      <c r="P61" s="285"/>
      <c r="R61" s="285"/>
      <c r="S61" s="285"/>
      <c r="T61" s="285"/>
      <c r="U61" s="285"/>
      <c r="V61" s="285"/>
      <c r="W61" s="285"/>
    </row>
    <row r="62" spans="1:23" s="26" customFormat="1" ht="21" hidden="1">
      <c r="A62" s="33"/>
      <c r="B62" s="31"/>
      <c r="C62" s="31"/>
      <c r="D62" s="318">
        <f t="shared" si="8"/>
        <v>0</v>
      </c>
      <c r="E62" s="317"/>
      <c r="F62" s="317"/>
      <c r="G62" s="317"/>
      <c r="H62" s="317"/>
      <c r="I62" s="317"/>
      <c r="J62" s="428"/>
      <c r="K62" s="34"/>
      <c r="P62" s="285"/>
      <c r="R62" s="285"/>
      <c r="S62" s="285"/>
      <c r="T62" s="285"/>
      <c r="U62" s="285"/>
      <c r="V62" s="285"/>
      <c r="W62" s="285"/>
    </row>
    <row r="63" spans="1:23" s="26" customFormat="1" ht="72" hidden="1">
      <c r="A63" s="33" t="s">
        <v>67</v>
      </c>
      <c r="B63" s="31">
        <v>241</v>
      </c>
      <c r="C63" s="31">
        <v>400</v>
      </c>
      <c r="D63" s="318">
        <f>SUM(D64:D65)</f>
        <v>0</v>
      </c>
      <c r="E63" s="317">
        <f aca="true" t="shared" si="9" ref="E63:K63">SUM(E64:E65)</f>
        <v>0</v>
      </c>
      <c r="F63" s="317"/>
      <c r="G63" s="317">
        <f t="shared" si="9"/>
        <v>0</v>
      </c>
      <c r="H63" s="317">
        <f t="shared" si="9"/>
        <v>0</v>
      </c>
      <c r="I63" s="317">
        <f t="shared" si="9"/>
        <v>0</v>
      </c>
      <c r="J63" s="428">
        <f t="shared" si="9"/>
        <v>0</v>
      </c>
      <c r="K63" s="34">
        <f t="shared" si="9"/>
        <v>0</v>
      </c>
      <c r="P63" s="285"/>
      <c r="R63" s="285"/>
      <c r="S63" s="285"/>
      <c r="T63" s="285"/>
      <c r="U63" s="285"/>
      <c r="V63" s="285"/>
      <c r="W63" s="285"/>
    </row>
    <row r="64" spans="1:23" s="26" customFormat="1" ht="112.5" customHeight="1" hidden="1">
      <c r="A64" s="35" t="s">
        <v>325</v>
      </c>
      <c r="B64" s="31">
        <v>242</v>
      </c>
      <c r="C64" s="31">
        <v>416</v>
      </c>
      <c r="D64" s="318">
        <f t="shared" si="8"/>
        <v>0</v>
      </c>
      <c r="E64" s="317"/>
      <c r="F64" s="317"/>
      <c r="G64" s="317"/>
      <c r="H64" s="317"/>
      <c r="I64" s="317"/>
      <c r="J64" s="428"/>
      <c r="K64" s="34"/>
      <c r="P64" s="285"/>
      <c r="R64" s="285"/>
      <c r="S64" s="285"/>
      <c r="T64" s="285"/>
      <c r="U64" s="285"/>
      <c r="V64" s="285"/>
      <c r="W64" s="285"/>
    </row>
    <row r="65" spans="1:23" s="26" customFormat="1" ht="108" hidden="1">
      <c r="A65" s="33" t="s">
        <v>326</v>
      </c>
      <c r="B65" s="31">
        <v>243</v>
      </c>
      <c r="C65" s="31">
        <v>417</v>
      </c>
      <c r="D65" s="318">
        <f t="shared" si="8"/>
        <v>0</v>
      </c>
      <c r="E65" s="317"/>
      <c r="F65" s="317"/>
      <c r="G65" s="317"/>
      <c r="H65" s="317"/>
      <c r="I65" s="317"/>
      <c r="J65" s="428"/>
      <c r="K65" s="34"/>
      <c r="P65" s="285"/>
      <c r="R65" s="285"/>
      <c r="S65" s="285"/>
      <c r="T65" s="285"/>
      <c r="U65" s="285"/>
      <c r="V65" s="285"/>
      <c r="W65" s="285"/>
    </row>
    <row r="66" spans="1:23" s="26" customFormat="1" ht="21" hidden="1">
      <c r="A66" s="33"/>
      <c r="B66" s="31"/>
      <c r="C66" s="31"/>
      <c r="D66" s="318">
        <f t="shared" si="8"/>
        <v>0</v>
      </c>
      <c r="E66" s="317"/>
      <c r="F66" s="317"/>
      <c r="G66" s="317"/>
      <c r="H66" s="317"/>
      <c r="I66" s="317"/>
      <c r="J66" s="317"/>
      <c r="K66" s="34"/>
      <c r="P66" s="285"/>
      <c r="R66" s="285"/>
      <c r="S66" s="285"/>
      <c r="T66" s="285"/>
      <c r="U66" s="285"/>
      <c r="V66" s="285"/>
      <c r="W66" s="285"/>
    </row>
    <row r="67" spans="1:23" s="26" customFormat="1" ht="36">
      <c r="A67" s="33" t="s">
        <v>327</v>
      </c>
      <c r="B67" s="31">
        <v>260</v>
      </c>
      <c r="C67" s="31" t="s">
        <v>63</v>
      </c>
      <c r="D67" s="318">
        <f>SUM(E67:J67)</f>
        <v>10382789.206389999</v>
      </c>
      <c r="E67" s="317">
        <f aca="true" t="shared" si="10" ref="E67:K67">E70</f>
        <v>637599.99915</v>
      </c>
      <c r="F67" s="317"/>
      <c r="G67" s="317">
        <f t="shared" si="10"/>
        <v>260800</v>
      </c>
      <c r="H67" s="317">
        <f t="shared" si="10"/>
        <v>0</v>
      </c>
      <c r="I67" s="317">
        <f t="shared" si="10"/>
        <v>4275654.20962</v>
      </c>
      <c r="J67" s="317">
        <f t="shared" si="10"/>
        <v>5208734.99762</v>
      </c>
      <c r="K67" s="34">
        <f t="shared" si="10"/>
        <v>0</v>
      </c>
      <c r="P67" s="285"/>
      <c r="R67" s="285"/>
      <c r="S67" s="285"/>
      <c r="T67" s="285"/>
      <c r="U67" s="285"/>
      <c r="V67" s="285"/>
      <c r="W67" s="285"/>
    </row>
    <row r="68" spans="1:23" s="26" customFormat="1" ht="36" hidden="1">
      <c r="A68" s="33" t="s">
        <v>328</v>
      </c>
      <c r="B68" s="31">
        <v>261</v>
      </c>
      <c r="C68" s="31">
        <v>241</v>
      </c>
      <c r="D68" s="318">
        <f t="shared" si="8"/>
        <v>0</v>
      </c>
      <c r="E68" s="317"/>
      <c r="F68" s="317"/>
      <c r="G68" s="317"/>
      <c r="H68" s="317"/>
      <c r="I68" s="317"/>
      <c r="J68" s="317"/>
      <c r="K68" s="34"/>
      <c r="P68" s="285"/>
      <c r="R68" s="285"/>
      <c r="S68" s="285"/>
      <c r="T68" s="285"/>
      <c r="U68" s="285"/>
      <c r="V68" s="285"/>
      <c r="W68" s="285"/>
    </row>
    <row r="69" spans="1:23" s="26" customFormat="1" ht="75" customHeight="1" hidden="1">
      <c r="A69" s="33" t="s">
        <v>329</v>
      </c>
      <c r="B69" s="31">
        <v>262</v>
      </c>
      <c r="C69" s="31">
        <v>243</v>
      </c>
      <c r="D69" s="318">
        <f t="shared" si="8"/>
        <v>0</v>
      </c>
      <c r="E69" s="317"/>
      <c r="F69" s="317"/>
      <c r="G69" s="317"/>
      <c r="H69" s="317"/>
      <c r="I69" s="317"/>
      <c r="J69" s="317"/>
      <c r="K69" s="34"/>
      <c r="P69" s="285"/>
      <c r="R69" s="285"/>
      <c r="S69" s="285"/>
      <c r="T69" s="285"/>
      <c r="U69" s="285"/>
      <c r="V69" s="285"/>
      <c r="W69" s="285"/>
    </row>
    <row r="70" spans="1:23" s="26" customFormat="1" ht="81.75" customHeight="1">
      <c r="A70" s="33" t="s">
        <v>68</v>
      </c>
      <c r="B70" s="31">
        <v>263</v>
      </c>
      <c r="C70" s="31">
        <v>244</v>
      </c>
      <c r="D70" s="318">
        <f>SUM(D71:D81)</f>
        <v>10382789.20639</v>
      </c>
      <c r="E70" s="317">
        <f aca="true" t="shared" si="11" ref="E70:K70">SUM(E71:E81)</f>
        <v>637599.99915</v>
      </c>
      <c r="F70" s="317"/>
      <c r="G70" s="317">
        <f t="shared" si="11"/>
        <v>260800</v>
      </c>
      <c r="H70" s="317">
        <f t="shared" si="11"/>
        <v>0</v>
      </c>
      <c r="I70" s="317">
        <f>SUM(I71:I81)</f>
        <v>4275654.20962</v>
      </c>
      <c r="J70" s="317">
        <f>SUM(J71:J81)</f>
        <v>5208734.99762</v>
      </c>
      <c r="K70" s="34">
        <f t="shared" si="11"/>
        <v>0</v>
      </c>
      <c r="P70" s="285"/>
      <c r="R70" s="285"/>
      <c r="S70" s="285"/>
      <c r="T70" s="285"/>
      <c r="U70" s="285"/>
      <c r="V70" s="285"/>
      <c r="W70" s="285"/>
    </row>
    <row r="71" spans="1:23" s="26" customFormat="1" ht="21">
      <c r="A71" s="35" t="s">
        <v>330</v>
      </c>
      <c r="B71" s="31">
        <v>264</v>
      </c>
      <c r="C71" s="31">
        <v>244</v>
      </c>
      <c r="D71" s="318">
        <f t="shared" si="8"/>
        <v>277029.82</v>
      </c>
      <c r="E71" s="317">
        <f>'221 Б'!F22</f>
        <v>0</v>
      </c>
      <c r="F71" s="317"/>
      <c r="G71" s="317"/>
      <c r="H71" s="317"/>
      <c r="I71" s="317">
        <f>'221 ОМС'!F23</f>
        <v>247029.82</v>
      </c>
      <c r="J71" s="317">
        <f>'221 ВнеБ'!F22</f>
        <v>30000</v>
      </c>
      <c r="K71" s="34"/>
      <c r="P71" s="285"/>
      <c r="R71" s="285"/>
      <c r="S71" s="285"/>
      <c r="T71" s="285"/>
      <c r="U71" s="285"/>
      <c r="V71" s="285"/>
      <c r="W71" s="285"/>
    </row>
    <row r="72" spans="1:23" s="26" customFormat="1" ht="21">
      <c r="A72" s="33" t="s">
        <v>331</v>
      </c>
      <c r="B72" s="31">
        <v>265</v>
      </c>
      <c r="C72" s="31">
        <v>244</v>
      </c>
      <c r="D72" s="318">
        <f t="shared" si="8"/>
        <v>30000</v>
      </c>
      <c r="E72" s="317"/>
      <c r="F72" s="317"/>
      <c r="G72" s="317"/>
      <c r="H72" s="317"/>
      <c r="I72" s="317"/>
      <c r="J72" s="317">
        <v>30000</v>
      </c>
      <c r="K72" s="34"/>
      <c r="P72" s="285"/>
      <c r="R72" s="285"/>
      <c r="S72" s="285"/>
      <c r="T72" s="285"/>
      <c r="U72" s="285"/>
      <c r="V72" s="285"/>
      <c r="W72" s="285"/>
    </row>
    <row r="73" spans="1:23" s="26" customFormat="1" ht="21">
      <c r="A73" s="33" t="s">
        <v>332</v>
      </c>
      <c r="B73" s="31">
        <v>266</v>
      </c>
      <c r="C73" s="31">
        <v>244</v>
      </c>
      <c r="D73" s="318">
        <f t="shared" si="8"/>
        <v>752333.59639</v>
      </c>
      <c r="E73" s="317">
        <f>'244(223)Б'!E21</f>
        <v>32395.469149999994</v>
      </c>
      <c r="F73" s="317"/>
      <c r="G73" s="317"/>
      <c r="H73" s="317"/>
      <c r="I73" s="317">
        <f>'244(223)ОМС'!E21</f>
        <v>529835.2796199999</v>
      </c>
      <c r="J73" s="317">
        <f>'244(223)ВнеБ'!E21</f>
        <v>190102.84762000002</v>
      </c>
      <c r="K73" s="34"/>
      <c r="P73" s="285"/>
      <c r="R73" s="285"/>
      <c r="S73" s="285"/>
      <c r="T73" s="285"/>
      <c r="U73" s="285"/>
      <c r="V73" s="285"/>
      <c r="W73" s="285"/>
    </row>
    <row r="74" spans="1:23" s="26" customFormat="1" ht="36">
      <c r="A74" s="33" t="s">
        <v>333</v>
      </c>
      <c r="B74" s="31">
        <v>267</v>
      </c>
      <c r="C74" s="31">
        <v>244</v>
      </c>
      <c r="D74" s="318">
        <f t="shared" si="8"/>
        <v>1149600</v>
      </c>
      <c r="E74" s="317"/>
      <c r="F74" s="317"/>
      <c r="G74" s="317"/>
      <c r="H74" s="317"/>
      <c r="I74" s="317"/>
      <c r="J74" s="317">
        <v>1149600</v>
      </c>
      <c r="K74" s="34"/>
      <c r="P74" s="285"/>
      <c r="R74" s="285"/>
      <c r="S74" s="285"/>
      <c r="T74" s="285"/>
      <c r="U74" s="285"/>
      <c r="V74" s="285"/>
      <c r="W74" s="285"/>
    </row>
    <row r="75" spans="1:23" s="26" customFormat="1" ht="36">
      <c r="A75" s="33" t="s">
        <v>334</v>
      </c>
      <c r="B75" s="31">
        <v>268</v>
      </c>
      <c r="C75" s="31">
        <v>244</v>
      </c>
      <c r="D75" s="318">
        <f t="shared" si="8"/>
        <v>484371.74</v>
      </c>
      <c r="E75" s="317">
        <f>'225Б'!F44</f>
        <v>4254.87</v>
      </c>
      <c r="F75" s="317"/>
      <c r="G75" s="317"/>
      <c r="H75" s="317"/>
      <c r="I75" s="317">
        <f>'225 ОМС'!F41</f>
        <v>311400.87</v>
      </c>
      <c r="J75" s="317">
        <f>'225 ВнеБ'!F44</f>
        <v>168716</v>
      </c>
      <c r="K75" s="34"/>
      <c r="P75" s="285"/>
      <c r="R75" s="285"/>
      <c r="S75" s="285"/>
      <c r="T75" s="285"/>
      <c r="U75" s="285"/>
      <c r="V75" s="285"/>
      <c r="W75" s="285"/>
    </row>
    <row r="76" spans="1:23" s="26" customFormat="1" ht="21">
      <c r="A76" s="33" t="s">
        <v>335</v>
      </c>
      <c r="B76" s="31">
        <v>269</v>
      </c>
      <c r="C76" s="31">
        <v>244</v>
      </c>
      <c r="D76" s="318">
        <f t="shared" si="8"/>
        <v>2910730.9</v>
      </c>
      <c r="E76" s="317">
        <f>'226 Б'!F45</f>
        <v>394443.66</v>
      </c>
      <c r="F76" s="317"/>
      <c r="G76" s="317">
        <v>260800</v>
      </c>
      <c r="H76" s="317"/>
      <c r="I76" s="317">
        <f>'226 ОМС'!F49</f>
        <v>1056587.24</v>
      </c>
      <c r="J76" s="317">
        <f>'226 ВнеБ'!F46</f>
        <v>1198900</v>
      </c>
      <c r="K76" s="34"/>
      <c r="P76" s="285"/>
      <c r="R76" s="285"/>
      <c r="S76" s="285"/>
      <c r="T76" s="285"/>
      <c r="U76" s="285"/>
      <c r="V76" s="285"/>
      <c r="W76" s="285"/>
    </row>
    <row r="77" spans="1:23" s="26" customFormat="1" ht="21">
      <c r="A77" s="33" t="s">
        <v>694</v>
      </c>
      <c r="B77" s="31"/>
      <c r="C77" s="31">
        <v>244</v>
      </c>
      <c r="D77" s="318">
        <f t="shared" si="8"/>
        <v>10458</v>
      </c>
      <c r="E77" s="317"/>
      <c r="F77" s="317"/>
      <c r="G77" s="317"/>
      <c r="H77" s="317"/>
      <c r="I77" s="317">
        <v>6058</v>
      </c>
      <c r="J77" s="317">
        <v>4400</v>
      </c>
      <c r="K77" s="34"/>
      <c r="P77" s="285"/>
      <c r="R77" s="285"/>
      <c r="S77" s="285"/>
      <c r="T77" s="285"/>
      <c r="U77" s="285"/>
      <c r="V77" s="285"/>
      <c r="W77" s="285"/>
    </row>
    <row r="78" spans="1:23" s="26" customFormat="1" ht="21" hidden="1">
      <c r="A78" s="33" t="s">
        <v>472</v>
      </c>
      <c r="B78" s="31">
        <v>290</v>
      </c>
      <c r="C78" s="31"/>
      <c r="D78" s="318">
        <f>J78</f>
        <v>0</v>
      </c>
      <c r="E78" s="317"/>
      <c r="F78" s="317"/>
      <c r="G78" s="317"/>
      <c r="H78" s="317"/>
      <c r="I78" s="317"/>
      <c r="J78" s="317"/>
      <c r="K78" s="34"/>
      <c r="P78" s="285"/>
      <c r="R78" s="285"/>
      <c r="S78" s="285"/>
      <c r="T78" s="285"/>
      <c r="U78" s="285"/>
      <c r="V78" s="285"/>
      <c r="W78" s="285"/>
    </row>
    <row r="79" spans="1:23" s="26" customFormat="1" ht="36">
      <c r="A79" s="33" t="s">
        <v>336</v>
      </c>
      <c r="B79" s="31">
        <v>270</v>
      </c>
      <c r="C79" s="31">
        <v>244</v>
      </c>
      <c r="D79" s="318">
        <f t="shared" si="8"/>
        <v>609000</v>
      </c>
      <c r="E79" s="317">
        <f>'310Б'!E19</f>
        <v>23000</v>
      </c>
      <c r="F79" s="317"/>
      <c r="G79" s="317"/>
      <c r="H79" s="317"/>
      <c r="I79" s="317">
        <f>'310 ОМС'!E32</f>
        <v>20000</v>
      </c>
      <c r="J79" s="317">
        <f>'310 ВнеБ'!E24</f>
        <v>566000</v>
      </c>
      <c r="K79" s="34"/>
      <c r="P79" s="285"/>
      <c r="R79" s="285"/>
      <c r="S79" s="285"/>
      <c r="T79" s="285"/>
      <c r="U79" s="285"/>
      <c r="V79" s="285"/>
      <c r="W79" s="285"/>
    </row>
    <row r="80" spans="1:23" s="26" customFormat="1" ht="36" hidden="1">
      <c r="A80" s="33" t="s">
        <v>337</v>
      </c>
      <c r="B80" s="31">
        <v>271</v>
      </c>
      <c r="C80" s="31"/>
      <c r="D80" s="318">
        <f t="shared" si="8"/>
        <v>0</v>
      </c>
      <c r="E80" s="317"/>
      <c r="F80" s="317"/>
      <c r="G80" s="317"/>
      <c r="H80" s="317"/>
      <c r="I80" s="317"/>
      <c r="J80" s="317"/>
      <c r="K80" s="34"/>
      <c r="P80" s="285"/>
      <c r="R80" s="285"/>
      <c r="S80" s="285"/>
      <c r="T80" s="285"/>
      <c r="U80" s="285"/>
      <c r="V80" s="285"/>
      <c r="W80" s="285"/>
    </row>
    <row r="81" spans="1:23" s="26" customFormat="1" ht="36">
      <c r="A81" s="33" t="s">
        <v>338</v>
      </c>
      <c r="B81" s="31">
        <v>272</v>
      </c>
      <c r="C81" s="31">
        <v>244</v>
      </c>
      <c r="D81" s="318">
        <f t="shared" si="8"/>
        <v>4159265.15</v>
      </c>
      <c r="E81" s="317">
        <f>'340 Б'!D31</f>
        <v>183506</v>
      </c>
      <c r="F81" s="317"/>
      <c r="G81" s="317"/>
      <c r="H81" s="317"/>
      <c r="I81" s="317">
        <f>'340 ОМС'!D31</f>
        <v>2104743</v>
      </c>
      <c r="J81" s="317">
        <f>'340 ВнеБ'!D31</f>
        <v>1871016.15</v>
      </c>
      <c r="K81" s="34"/>
      <c r="P81" s="285"/>
      <c r="R81" s="285"/>
      <c r="S81" s="285"/>
      <c r="T81" s="285"/>
      <c r="U81" s="285"/>
      <c r="V81" s="285"/>
      <c r="W81" s="285"/>
    </row>
    <row r="82" spans="1:23" s="25" customFormat="1" ht="34.5">
      <c r="A82" s="10" t="s">
        <v>69</v>
      </c>
      <c r="B82" s="494">
        <v>300</v>
      </c>
      <c r="C82" s="494" t="s">
        <v>63</v>
      </c>
      <c r="D82" s="28">
        <f aca="true" t="shared" si="12" ref="D82:K82">SUM(D83:D85)</f>
        <v>38443680</v>
      </c>
      <c r="E82" s="318">
        <f t="shared" si="12"/>
        <v>2404600</v>
      </c>
      <c r="F82" s="318"/>
      <c r="G82" s="28">
        <f t="shared" si="12"/>
        <v>502800</v>
      </c>
      <c r="H82" s="28">
        <f t="shared" si="12"/>
        <v>0</v>
      </c>
      <c r="I82" s="28">
        <f t="shared" si="12"/>
        <v>22260000</v>
      </c>
      <c r="J82" s="28">
        <f>SUM(J83:J85)</f>
        <v>13276280</v>
      </c>
      <c r="K82" s="28">
        <f t="shared" si="12"/>
        <v>0</v>
      </c>
      <c r="N82" s="216"/>
      <c r="O82" s="216"/>
      <c r="P82" s="304"/>
      <c r="Q82" s="216"/>
      <c r="R82" s="304"/>
      <c r="S82" s="304"/>
      <c r="T82" s="304"/>
      <c r="U82" s="304"/>
      <c r="V82" s="284"/>
      <c r="W82" s="284"/>
    </row>
    <row r="83" spans="1:11" ht="36">
      <c r="A83" s="2" t="s">
        <v>339</v>
      </c>
      <c r="B83" s="495">
        <v>310</v>
      </c>
      <c r="C83" s="495">
        <v>510</v>
      </c>
      <c r="D83" s="28">
        <f>D21</f>
        <v>38443680</v>
      </c>
      <c r="E83" s="317">
        <f>E21</f>
        <v>2404600</v>
      </c>
      <c r="F83" s="317"/>
      <c r="G83" s="29">
        <v>502800</v>
      </c>
      <c r="H83" s="29">
        <f>H21</f>
        <v>0</v>
      </c>
      <c r="I83" s="29">
        <f>I21+I20</f>
        <v>22260000</v>
      </c>
      <c r="J83" s="29">
        <f>J21+J20</f>
        <v>13276280</v>
      </c>
      <c r="K83" s="29"/>
    </row>
    <row r="84" spans="1:11" ht="21" hidden="1">
      <c r="A84" s="2" t="s">
        <v>340</v>
      </c>
      <c r="B84" s="495">
        <v>311</v>
      </c>
      <c r="C84" s="495"/>
      <c r="D84" s="28">
        <f t="shared" si="8"/>
        <v>0</v>
      </c>
      <c r="E84" s="29"/>
      <c r="F84" s="29"/>
      <c r="G84" s="29"/>
      <c r="H84" s="29"/>
      <c r="I84" s="29"/>
      <c r="J84" s="29"/>
      <c r="K84" s="29"/>
    </row>
    <row r="85" spans="1:11" ht="21" hidden="1">
      <c r="A85" s="2"/>
      <c r="B85" s="495"/>
      <c r="C85" s="495"/>
      <c r="D85" s="28">
        <f t="shared" si="8"/>
        <v>0</v>
      </c>
      <c r="E85" s="29"/>
      <c r="F85" s="29"/>
      <c r="G85" s="29"/>
      <c r="H85" s="29"/>
      <c r="I85" s="29"/>
      <c r="J85" s="29"/>
      <c r="K85" s="29"/>
    </row>
    <row r="86" spans="1:23" s="25" customFormat="1" ht="36" customHeight="1">
      <c r="A86" s="10" t="s">
        <v>70</v>
      </c>
      <c r="B86" s="494">
        <v>400</v>
      </c>
      <c r="C86" s="494"/>
      <c r="D86" s="28">
        <f>SUM(D87:D89)</f>
        <v>38443679.99639</v>
      </c>
      <c r="E86" s="28">
        <f aca="true" t="shared" si="13" ref="E86:K86">SUM(E87:E89)</f>
        <v>2404599.99515</v>
      </c>
      <c r="F86" s="28"/>
      <c r="G86" s="28">
        <f t="shared" si="13"/>
        <v>502800</v>
      </c>
      <c r="H86" s="28">
        <f t="shared" si="13"/>
        <v>0</v>
      </c>
      <c r="I86" s="28">
        <f>SUM(I87:I89)</f>
        <v>22260000.00162</v>
      </c>
      <c r="J86" s="28">
        <f>SUM(J87:J89)</f>
        <v>13276279.99962</v>
      </c>
      <c r="K86" s="28">
        <f t="shared" si="13"/>
        <v>0</v>
      </c>
      <c r="N86" s="216"/>
      <c r="O86" s="216"/>
      <c r="P86" s="304"/>
      <c r="Q86" s="216"/>
      <c r="R86" s="304"/>
      <c r="S86" s="304"/>
      <c r="T86" s="304"/>
      <c r="U86" s="304"/>
      <c r="V86" s="284"/>
      <c r="W86" s="284"/>
    </row>
    <row r="87" spans="1:11" ht="37.5" customHeight="1">
      <c r="A87" s="2" t="s">
        <v>341</v>
      </c>
      <c r="B87" s="495">
        <v>410</v>
      </c>
      <c r="C87" s="495">
        <v>610</v>
      </c>
      <c r="D87" s="28">
        <f>D37</f>
        <v>38443679.99639</v>
      </c>
      <c r="E87" s="29">
        <f>E37</f>
        <v>2404599.99515</v>
      </c>
      <c r="F87" s="29"/>
      <c r="G87" s="29">
        <v>502800</v>
      </c>
      <c r="H87" s="29">
        <f>H37</f>
        <v>0</v>
      </c>
      <c r="I87" s="29">
        <f>I37</f>
        <v>22260000.00162</v>
      </c>
      <c r="J87" s="29">
        <f>J37</f>
        <v>13276279.99962</v>
      </c>
      <c r="K87" s="29"/>
    </row>
    <row r="88" spans="1:11" ht="21" hidden="1">
      <c r="A88" s="2" t="s">
        <v>342</v>
      </c>
      <c r="B88" s="495">
        <v>411</v>
      </c>
      <c r="C88" s="495"/>
      <c r="D88" s="28">
        <f t="shared" si="8"/>
        <v>0</v>
      </c>
      <c r="E88" s="29"/>
      <c r="F88" s="29"/>
      <c r="G88" s="29"/>
      <c r="H88" s="29"/>
      <c r="I88" s="29"/>
      <c r="J88" s="29"/>
      <c r="K88" s="29"/>
    </row>
    <row r="89" spans="1:11" ht="21" hidden="1">
      <c r="A89" s="2"/>
      <c r="B89" s="495"/>
      <c r="C89" s="495"/>
      <c r="D89" s="28">
        <f t="shared" si="8"/>
        <v>0</v>
      </c>
      <c r="E89" s="29"/>
      <c r="F89" s="29"/>
      <c r="G89" s="29"/>
      <c r="H89" s="29"/>
      <c r="I89" s="29"/>
      <c r="J89" s="29"/>
      <c r="K89" s="29"/>
    </row>
    <row r="90" spans="1:11" ht="33" customHeight="1">
      <c r="A90" s="10" t="s">
        <v>71</v>
      </c>
      <c r="B90" s="494">
        <v>500</v>
      </c>
      <c r="C90" s="494" t="s">
        <v>63</v>
      </c>
      <c r="D90" s="332">
        <f>D20+D21-D37</f>
        <v>0.0036100000143051147</v>
      </c>
      <c r="E90" s="332">
        <f>E20+E21-E37</f>
        <v>0.0048500001430511475</v>
      </c>
      <c r="F90" s="331"/>
      <c r="G90" s="332">
        <f>G20+G21-G37</f>
        <v>0</v>
      </c>
      <c r="H90" s="332">
        <f>H20+H21-H37+H82-H86</f>
        <v>0</v>
      </c>
      <c r="I90" s="332">
        <f>I20+I21-I37</f>
        <v>-0.0016199983656406403</v>
      </c>
      <c r="J90" s="332">
        <f>J20+J21-J37</f>
        <v>0.0003800000995397568</v>
      </c>
      <c r="K90" s="28">
        <f>K20+K21-K37+K82-K86</f>
        <v>0</v>
      </c>
    </row>
    <row r="91" spans="1:23" s="153" customFormat="1" ht="21">
      <c r="A91" s="219" t="s">
        <v>423</v>
      </c>
      <c r="B91" s="219"/>
      <c r="C91" s="219"/>
      <c r="D91" s="219"/>
      <c r="E91" s="220"/>
      <c r="F91" s="220"/>
      <c r="G91" s="220"/>
      <c r="H91" s="220"/>
      <c r="I91" s="410"/>
      <c r="J91" s="220"/>
      <c r="K91" s="220"/>
      <c r="N91" s="303"/>
      <c r="O91" s="303"/>
      <c r="P91" s="285"/>
      <c r="Q91" s="303"/>
      <c r="R91" s="285"/>
      <c r="S91" s="285"/>
      <c r="T91" s="285"/>
      <c r="U91" s="285"/>
      <c r="V91" s="283"/>
      <c r="W91" s="283"/>
    </row>
    <row r="92" ht="21">
      <c r="A92" s="20"/>
    </row>
    <row r="93" spans="1:23" s="3" customFormat="1" ht="21">
      <c r="A93" s="3" t="s">
        <v>589</v>
      </c>
      <c r="D93" s="3" t="s">
        <v>390</v>
      </c>
      <c r="G93" s="3" t="s">
        <v>754</v>
      </c>
      <c r="N93" s="183"/>
      <c r="O93" s="183"/>
      <c r="P93" s="307"/>
      <c r="Q93" s="183"/>
      <c r="R93" s="307"/>
      <c r="S93" s="307"/>
      <c r="T93" s="307"/>
      <c r="U93" s="307"/>
      <c r="V93" s="286"/>
      <c r="W93" s="286"/>
    </row>
    <row r="94" spans="1:23" s="3" customFormat="1" ht="21">
      <c r="A94" s="3" t="str">
        <f>таб1!A48</f>
        <v>тел.   8(86168) 5-37-62                                         (подпись)                                               (расшифровка подписи)</v>
      </c>
      <c r="G94" s="3" t="s">
        <v>402</v>
      </c>
      <c r="N94" s="183"/>
      <c r="O94" s="183"/>
      <c r="P94" s="307"/>
      <c r="Q94" s="183"/>
      <c r="R94" s="307"/>
      <c r="S94" s="307"/>
      <c r="T94" s="307"/>
      <c r="U94" s="307"/>
      <c r="V94" s="286"/>
      <c r="W94" s="286"/>
    </row>
    <row r="95" spans="4:23" s="3" customFormat="1" ht="21">
      <c r="D95" s="61"/>
      <c r="N95" s="183"/>
      <c r="O95" s="183"/>
      <c r="P95" s="307"/>
      <c r="Q95" s="183"/>
      <c r="R95" s="307"/>
      <c r="S95" s="307"/>
      <c r="T95" s="307"/>
      <c r="U95" s="307"/>
      <c r="V95" s="286"/>
      <c r="W95" s="286"/>
    </row>
    <row r="96" spans="1:23" s="3" customFormat="1" ht="21">
      <c r="A96" s="3" t="s">
        <v>245</v>
      </c>
      <c r="D96" s="61" t="s">
        <v>390</v>
      </c>
      <c r="G96" s="3" t="s">
        <v>598</v>
      </c>
      <c r="N96" s="183"/>
      <c r="O96" s="183"/>
      <c r="P96" s="307"/>
      <c r="Q96" s="183"/>
      <c r="R96" s="307"/>
      <c r="S96" s="307"/>
      <c r="T96" s="307"/>
      <c r="U96" s="307"/>
      <c r="V96" s="286"/>
      <c r="W96" s="286"/>
    </row>
    <row r="97" spans="1:23" s="3" customFormat="1" ht="21">
      <c r="A97" s="3" t="str">
        <f>A94</f>
        <v>тел.   8(86168) 5-37-62                                         (подпись)                                               (расшифровка подписи)</v>
      </c>
      <c r="D97" s="3" t="s">
        <v>29</v>
      </c>
      <c r="G97" s="3" t="s">
        <v>402</v>
      </c>
      <c r="N97" s="183"/>
      <c r="O97" s="183"/>
      <c r="P97" s="307"/>
      <c r="Q97" s="183"/>
      <c r="R97" s="307"/>
      <c r="S97" s="307"/>
      <c r="T97" s="307"/>
      <c r="U97" s="307"/>
      <c r="V97" s="286"/>
      <c r="W97" s="286"/>
    </row>
    <row r="98" spans="4:23" s="3" customFormat="1" ht="21">
      <c r="D98" s="61"/>
      <c r="N98" s="183"/>
      <c r="O98" s="183"/>
      <c r="P98" s="307"/>
      <c r="Q98" s="183"/>
      <c r="R98" s="307"/>
      <c r="S98" s="307"/>
      <c r="T98" s="307"/>
      <c r="U98" s="307"/>
      <c r="V98" s="286"/>
      <c r="W98" s="286"/>
    </row>
    <row r="99" spans="1:23" s="3" customFormat="1" ht="21">
      <c r="A99" s="3" t="s">
        <v>391</v>
      </c>
      <c r="D99" s="61"/>
      <c r="N99" s="183"/>
      <c r="O99" s="183"/>
      <c r="P99" s="307"/>
      <c r="Q99" s="183"/>
      <c r="R99" s="307"/>
      <c r="S99" s="307"/>
      <c r="T99" s="307"/>
      <c r="U99" s="307"/>
      <c r="V99" s="286"/>
      <c r="W99" s="286"/>
    </row>
  </sheetData>
  <sheetProtection/>
  <mergeCells count="15">
    <mergeCell ref="D8:G8"/>
    <mergeCell ref="A4:K4"/>
    <mergeCell ref="A7:K7"/>
    <mergeCell ref="A9:A18"/>
    <mergeCell ref="B9:B18"/>
    <mergeCell ref="C9:C18"/>
    <mergeCell ref="D9:K9"/>
    <mergeCell ref="D10:D18"/>
    <mergeCell ref="E10:K10"/>
    <mergeCell ref="E11:E18"/>
    <mergeCell ref="G11:G18"/>
    <mergeCell ref="H11:H18"/>
    <mergeCell ref="I11:I18"/>
    <mergeCell ref="J11:K17"/>
    <mergeCell ref="F11:F18"/>
  </mergeCells>
  <printOptions/>
  <pageMargins left="0.31496062992125984" right="0.11811023622047245" top="0.35433070866141736" bottom="0.35433070866141736" header="0.31496062992125984" footer="0.31496062992125984"/>
  <pageSetup fitToHeight="8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24"/>
  <sheetViews>
    <sheetView showZeros="0" view="pageBreakPreview" zoomScale="60" zoomScalePageLayoutView="0" workbookViewId="0" topLeftCell="A106">
      <selection activeCell="G117" sqref="G117"/>
    </sheetView>
  </sheetViews>
  <sheetFormatPr defaultColWidth="9.140625" defaultRowHeight="15"/>
  <cols>
    <col min="1" max="1" width="40.28125" style="0" customWidth="1"/>
    <col min="2" max="2" width="7.28125" style="0" customWidth="1"/>
    <col min="3" max="3" width="5.421875" style="0" customWidth="1"/>
    <col min="4" max="6" width="16.28125" style="0" customWidth="1"/>
    <col min="7" max="7" width="16.8515625" style="0" customWidth="1"/>
    <col min="8" max="9" width="17.140625" style="0" customWidth="1"/>
    <col min="10" max="12" width="16.8515625" style="0" customWidth="1"/>
    <col min="13" max="13" width="21.8515625" style="0" customWidth="1"/>
    <col min="14" max="14" width="17.8515625" style="0" customWidth="1"/>
    <col min="15" max="15" width="20.28125" style="0" customWidth="1"/>
    <col min="16" max="18" width="15.00390625" style="6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7" t="s">
        <v>134</v>
      </c>
    </row>
    <row r="2" spans="1:12" ht="18">
      <c r="A2" s="1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>
      <c r="A3" s="576" t="s">
        <v>599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</row>
    <row r="4" spans="1:12" ht="20.25">
      <c r="A4" s="624" t="s">
        <v>735</v>
      </c>
      <c r="B4" s="624"/>
      <c r="C4" s="624"/>
      <c r="D4" s="624"/>
      <c r="E4" s="624"/>
      <c r="F4" s="624"/>
      <c r="G4" s="624"/>
      <c r="H4" s="624"/>
      <c r="I4" s="624"/>
      <c r="J4" s="624"/>
      <c r="K4" s="3"/>
      <c r="L4" s="3"/>
    </row>
    <row r="5" spans="1:18" ht="28.5" customHeight="1">
      <c r="A5" s="583" t="s">
        <v>20</v>
      </c>
      <c r="B5" s="583" t="s">
        <v>56</v>
      </c>
      <c r="C5" s="583" t="s">
        <v>99</v>
      </c>
      <c r="D5" s="583" t="s">
        <v>102</v>
      </c>
      <c r="E5" s="583"/>
      <c r="F5" s="583"/>
      <c r="G5" s="583"/>
      <c r="H5" s="583"/>
      <c r="I5" s="583"/>
      <c r="J5" s="583"/>
      <c r="K5" s="583"/>
      <c r="L5" s="583"/>
      <c r="M5" s="617" t="s">
        <v>109</v>
      </c>
      <c r="N5" s="618"/>
      <c r="O5" s="618"/>
      <c r="P5" s="618"/>
      <c r="Q5" s="618"/>
      <c r="R5" s="619"/>
    </row>
    <row r="6" spans="1:18" ht="18">
      <c r="A6" s="583"/>
      <c r="B6" s="583"/>
      <c r="C6" s="583"/>
      <c r="D6" s="583" t="s">
        <v>97</v>
      </c>
      <c r="E6" s="583"/>
      <c r="F6" s="583"/>
      <c r="G6" s="583" t="s">
        <v>40</v>
      </c>
      <c r="H6" s="583"/>
      <c r="I6" s="583"/>
      <c r="J6" s="583"/>
      <c r="K6" s="583"/>
      <c r="L6" s="583"/>
      <c r="M6" s="620"/>
      <c r="N6" s="621"/>
      <c r="O6" s="621"/>
      <c r="P6" s="621"/>
      <c r="Q6" s="621"/>
      <c r="R6" s="622"/>
    </row>
    <row r="7" spans="1:18" ht="112.5" customHeight="1">
      <c r="A7" s="583"/>
      <c r="B7" s="583"/>
      <c r="C7" s="583"/>
      <c r="D7" s="583"/>
      <c r="E7" s="583"/>
      <c r="F7" s="583"/>
      <c r="G7" s="569" t="s">
        <v>100</v>
      </c>
      <c r="H7" s="623"/>
      <c r="I7" s="572"/>
      <c r="J7" s="569" t="s">
        <v>101</v>
      </c>
      <c r="K7" s="623"/>
      <c r="L7" s="572"/>
      <c r="M7" s="611" t="s">
        <v>100</v>
      </c>
      <c r="N7" s="612"/>
      <c r="O7" s="613"/>
      <c r="P7" s="614" t="s">
        <v>101</v>
      </c>
      <c r="Q7" s="615"/>
      <c r="R7" s="616"/>
    </row>
    <row r="8" spans="1:18" ht="72">
      <c r="A8" s="583"/>
      <c r="B8" s="583"/>
      <c r="C8" s="583"/>
      <c r="D8" s="7" t="s">
        <v>663</v>
      </c>
      <c r="E8" s="7" t="s">
        <v>664</v>
      </c>
      <c r="F8" s="7" t="s">
        <v>665</v>
      </c>
      <c r="G8" s="449" t="s">
        <v>663</v>
      </c>
      <c r="H8" s="449" t="s">
        <v>664</v>
      </c>
      <c r="I8" s="449" t="s">
        <v>665</v>
      </c>
      <c r="J8" s="449" t="s">
        <v>663</v>
      </c>
      <c r="K8" s="449" t="s">
        <v>664</v>
      </c>
      <c r="L8" s="449" t="s">
        <v>665</v>
      </c>
      <c r="M8" s="38" t="s">
        <v>103</v>
      </c>
      <c r="N8" s="38" t="s">
        <v>104</v>
      </c>
      <c r="O8" s="38" t="s">
        <v>105</v>
      </c>
      <c r="P8" s="38" t="s">
        <v>103</v>
      </c>
      <c r="Q8" s="38" t="s">
        <v>104</v>
      </c>
      <c r="R8" s="38" t="s">
        <v>105</v>
      </c>
    </row>
    <row r="9" spans="1:18" ht="18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38">
        <v>7</v>
      </c>
      <c r="N9" s="38">
        <v>8</v>
      </c>
      <c r="O9" s="38">
        <v>9</v>
      </c>
      <c r="P9" s="38">
        <v>10</v>
      </c>
      <c r="Q9" s="38">
        <v>11</v>
      </c>
      <c r="R9" s="38">
        <v>12</v>
      </c>
    </row>
    <row r="10" spans="1:18" s="25" customFormat="1" ht="51.75">
      <c r="A10" s="10" t="s">
        <v>106</v>
      </c>
      <c r="B10" s="27" t="s">
        <v>107</v>
      </c>
      <c r="C10" s="18" t="s">
        <v>63</v>
      </c>
      <c r="D10" s="481">
        <f>G10+J10</f>
        <v>10174389.20639</v>
      </c>
      <c r="E10" s="481">
        <f>H10+K10</f>
        <v>10158589.20639</v>
      </c>
      <c r="F10" s="481">
        <f>I10+L10</f>
        <v>10382789.20639</v>
      </c>
      <c r="G10" s="28">
        <f aca="true" t="shared" si="0" ref="G10:L10">G12+G16</f>
        <v>0</v>
      </c>
      <c r="H10" s="28">
        <f t="shared" si="0"/>
        <v>0</v>
      </c>
      <c r="I10" s="28">
        <f t="shared" si="0"/>
        <v>0</v>
      </c>
      <c r="J10" s="481">
        <f>J12+J16</f>
        <v>10174389.20639</v>
      </c>
      <c r="K10" s="481">
        <f t="shared" si="0"/>
        <v>10158589.20639</v>
      </c>
      <c r="L10" s="481">
        <f t="shared" si="0"/>
        <v>10382789.20639</v>
      </c>
      <c r="M10" s="53" t="str">
        <f>IF(таб2_1!E67+таб2_1!G67+таб2_1!H67+таб2_1!I67-G10=0,"ВЕРНО","ОШИБКА")</f>
        <v>ОШИБКА</v>
      </c>
      <c r="N10" s="53" t="str">
        <f>IF(таб2_2!E67+таб2_2!G67+таб2_2!H67+таб2_2!I67-H10=0,"ВЕРНО","ОШИБКА")</f>
        <v>ОШИБКА</v>
      </c>
      <c r="O10" s="53" t="str">
        <f>IF(таб2_3!E67+таб2_3!G67+таб2_3!H67+таб2_3!I67-I10=0,"ВЕРНО","ОШИБКА")</f>
        <v>ОШИБКА</v>
      </c>
      <c r="P10" s="53" t="str">
        <f>IF(таб2_1!J67-J10=0,"ВЕРНО","ОШИБКА")</f>
        <v>ОШИБКА</v>
      </c>
      <c r="Q10" s="53" t="str">
        <f>IF(таб2_2!J67-K10=0,"ВЕРНО","ОШИБКА")</f>
        <v>ОШИБКА</v>
      </c>
      <c r="R10" s="53" t="str">
        <f>IF(таб2_3!J67-L10=0,"ВЕРНО","ОШИБКА")</f>
        <v>ОШИБКА</v>
      </c>
    </row>
    <row r="11" spans="1:18" ht="18">
      <c r="A11" s="2" t="s">
        <v>80</v>
      </c>
      <c r="B11" s="23"/>
      <c r="C11" s="23"/>
      <c r="D11" s="29"/>
      <c r="E11" s="29"/>
      <c r="F11" s="29"/>
      <c r="G11" s="29"/>
      <c r="H11" s="29"/>
      <c r="I11" s="29"/>
      <c r="J11" s="29"/>
      <c r="K11" s="29"/>
      <c r="L11" s="29"/>
      <c r="M11" s="39"/>
      <c r="N11" s="39"/>
      <c r="O11" s="39"/>
      <c r="P11" s="39"/>
      <c r="Q11" s="39"/>
      <c r="R11" s="39"/>
    </row>
    <row r="12" spans="1:18" ht="54">
      <c r="A12" s="2" t="s">
        <v>108</v>
      </c>
      <c r="B12" s="7">
        <v>1001</v>
      </c>
      <c r="C12" s="7" t="s">
        <v>63</v>
      </c>
      <c r="D12" s="28">
        <f aca="true" t="shared" si="1" ref="D12:F16">G12+J12</f>
        <v>0</v>
      </c>
      <c r="E12" s="28">
        <f t="shared" si="1"/>
        <v>0</v>
      </c>
      <c r="F12" s="28">
        <f t="shared" si="1"/>
        <v>0</v>
      </c>
      <c r="G12" s="29">
        <f aca="true" t="shared" si="2" ref="G12:L12">SUM(G13:G15)</f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39"/>
      <c r="N12" s="39"/>
      <c r="O12" s="39"/>
      <c r="P12" s="39"/>
      <c r="Q12" s="39"/>
      <c r="R12" s="39"/>
    </row>
    <row r="13" spans="1:18" ht="18" hidden="1">
      <c r="A13" s="2"/>
      <c r="B13" s="23"/>
      <c r="C13" s="23"/>
      <c r="D13" s="29">
        <f t="shared" si="1"/>
        <v>0</v>
      </c>
      <c r="E13" s="29">
        <f t="shared" si="1"/>
        <v>0</v>
      </c>
      <c r="F13" s="29">
        <f t="shared" si="1"/>
        <v>0</v>
      </c>
      <c r="G13" s="29"/>
      <c r="H13" s="29"/>
      <c r="I13" s="29"/>
      <c r="J13" s="29"/>
      <c r="K13" s="29"/>
      <c r="L13" s="29"/>
      <c r="M13" s="39"/>
      <c r="N13" s="39"/>
      <c r="O13" s="39"/>
      <c r="P13" s="39"/>
      <c r="Q13" s="39"/>
      <c r="R13" s="39"/>
    </row>
    <row r="14" spans="1:18" s="6" customFormat="1" ht="18" hidden="1">
      <c r="A14" s="2"/>
      <c r="B14" s="23"/>
      <c r="C14" s="23"/>
      <c r="D14" s="29">
        <f t="shared" si="1"/>
        <v>0</v>
      </c>
      <c r="E14" s="29">
        <f t="shared" si="1"/>
        <v>0</v>
      </c>
      <c r="F14" s="29">
        <f t="shared" si="1"/>
        <v>0</v>
      </c>
      <c r="G14" s="29"/>
      <c r="H14" s="29"/>
      <c r="I14" s="29"/>
      <c r="J14" s="29"/>
      <c r="K14" s="29"/>
      <c r="L14" s="29"/>
      <c r="M14" s="39"/>
      <c r="N14" s="39"/>
      <c r="O14" s="39"/>
      <c r="P14" s="39"/>
      <c r="Q14" s="39"/>
      <c r="R14" s="39"/>
    </row>
    <row r="15" spans="1:18" ht="18" hidden="1">
      <c r="A15" s="2"/>
      <c r="B15" s="23"/>
      <c r="C15" s="23"/>
      <c r="D15" s="29">
        <f t="shared" si="1"/>
        <v>0</v>
      </c>
      <c r="E15" s="29">
        <f t="shared" si="1"/>
        <v>0</v>
      </c>
      <c r="F15" s="29">
        <f t="shared" si="1"/>
        <v>0</v>
      </c>
      <c r="G15" s="29"/>
      <c r="H15" s="29"/>
      <c r="I15" s="29"/>
      <c r="J15" s="29"/>
      <c r="K15" s="29"/>
      <c r="L15" s="29"/>
      <c r="M15" s="39"/>
      <c r="N15" s="39"/>
      <c r="O15" s="39"/>
      <c r="P15" s="39"/>
      <c r="Q15" s="39"/>
      <c r="R15" s="39"/>
    </row>
    <row r="16" spans="1:18" ht="36">
      <c r="A16" s="2" t="s">
        <v>98</v>
      </c>
      <c r="B16" s="7">
        <v>2001</v>
      </c>
      <c r="C16" s="23"/>
      <c r="D16" s="480">
        <f>G16+J16</f>
        <v>10174389.20639</v>
      </c>
      <c r="E16" s="480">
        <f t="shared" si="1"/>
        <v>10158589.20639</v>
      </c>
      <c r="F16" s="480">
        <f t="shared" si="1"/>
        <v>10382789.20639</v>
      </c>
      <c r="G16" s="318">
        <f>G86</f>
        <v>0</v>
      </c>
      <c r="H16" s="318">
        <f>H86</f>
        <v>0</v>
      </c>
      <c r="I16" s="318">
        <f>I86</f>
        <v>0</v>
      </c>
      <c r="J16" s="480">
        <f>J17+J18+J19+J21+J22+J24+J69+J77+J86+J105+J104+J106+J108+J109+J110+J111+J112+J113+J25+J20+J107+J55+J56-0.01</f>
        <v>10174389.20639</v>
      </c>
      <c r="K16" s="480">
        <f>K17+K18+K19+K21+K22+K24+K69+K77+K86+K105+K104+K106+K108+K109+K110+K111+K112+K113+K25+K20+K107+K55+K56-0.01</f>
        <v>10158589.20639</v>
      </c>
      <c r="L16" s="480">
        <f>L17+L18+L19+L21+L22+L24+L69+L77+L86+L105+L104+L106+L108+L109+L110+L111+L112+L113+L25+L20+L107+L55+L56-0.01</f>
        <v>10382789.20639</v>
      </c>
      <c r="M16" s="319"/>
      <c r="N16" s="39"/>
      <c r="O16" s="39"/>
      <c r="P16" s="39"/>
      <c r="Q16" s="39"/>
      <c r="R16" s="39"/>
    </row>
    <row r="17" spans="1:18" s="6" customFormat="1" ht="22.5" customHeight="1">
      <c r="A17" s="2" t="s">
        <v>330</v>
      </c>
      <c r="B17" s="7"/>
      <c r="C17" s="23"/>
      <c r="D17" s="318">
        <f aca="true" t="shared" si="3" ref="D17:D37">G17+J17</f>
        <v>277029.82</v>
      </c>
      <c r="E17" s="318">
        <f aca="true" t="shared" si="4" ref="E17:E106">H17+K17</f>
        <v>277029.82</v>
      </c>
      <c r="F17" s="318">
        <f aca="true" t="shared" si="5" ref="F17:F106">I17+L17</f>
        <v>277029.82</v>
      </c>
      <c r="G17" s="317"/>
      <c r="H17" s="317">
        <f>G17</f>
        <v>0</v>
      </c>
      <c r="I17" s="317">
        <f>G17</f>
        <v>0</v>
      </c>
      <c r="J17" s="32">
        <f>'221 ОМС'!F23+'221 ВнеБ'!F22</f>
        <v>277029.82</v>
      </c>
      <c r="K17" s="317">
        <f aca="true" t="shared" si="6" ref="K17:K26">J17</f>
        <v>277029.82</v>
      </c>
      <c r="L17" s="317">
        <f aca="true" t="shared" si="7" ref="L17:L22">J17</f>
        <v>277029.82</v>
      </c>
      <c r="M17" s="319"/>
      <c r="N17" s="39"/>
      <c r="O17" s="39"/>
      <c r="P17" s="39"/>
      <c r="Q17" s="39"/>
      <c r="R17" s="39"/>
    </row>
    <row r="18" spans="1:18" s="6" customFormat="1" ht="22.5" customHeight="1">
      <c r="A18" s="2" t="s">
        <v>331</v>
      </c>
      <c r="B18" s="471"/>
      <c r="C18" s="23"/>
      <c r="D18" s="318">
        <f>G18+J18</f>
        <v>30000</v>
      </c>
      <c r="E18" s="318">
        <f>H18+K18</f>
        <v>30000</v>
      </c>
      <c r="F18" s="318">
        <f>I18+L18</f>
        <v>30000</v>
      </c>
      <c r="G18" s="317"/>
      <c r="H18" s="317"/>
      <c r="I18" s="317"/>
      <c r="J18" s="32">
        <v>30000</v>
      </c>
      <c r="K18" s="317">
        <f t="shared" si="6"/>
        <v>30000</v>
      </c>
      <c r="L18" s="317">
        <f t="shared" si="7"/>
        <v>30000</v>
      </c>
      <c r="M18" s="319"/>
      <c r="N18" s="39"/>
      <c r="O18" s="39"/>
      <c r="P18" s="39"/>
      <c r="Q18" s="39"/>
      <c r="R18" s="39"/>
    </row>
    <row r="19" spans="1:18" s="6" customFormat="1" ht="18">
      <c r="A19" s="2" t="s">
        <v>332</v>
      </c>
      <c r="B19" s="7"/>
      <c r="C19" s="23"/>
      <c r="D19" s="318">
        <f t="shared" si="3"/>
        <v>752333.59639</v>
      </c>
      <c r="E19" s="318">
        <f t="shared" si="4"/>
        <v>752333.59639</v>
      </c>
      <c r="F19" s="318">
        <f t="shared" si="5"/>
        <v>752333.59639</v>
      </c>
      <c r="G19" s="317"/>
      <c r="H19" s="317">
        <f>G19</f>
        <v>0</v>
      </c>
      <c r="I19" s="317">
        <f>G19</f>
        <v>0</v>
      </c>
      <c r="J19" s="32">
        <f>'244(223)ВнеБ'!E21+'244(223)Б'!E21+'244(223)ОМС'!E21</f>
        <v>752333.59639</v>
      </c>
      <c r="K19" s="317">
        <f t="shared" si="6"/>
        <v>752333.59639</v>
      </c>
      <c r="L19" s="317">
        <f t="shared" si="7"/>
        <v>752333.59639</v>
      </c>
      <c r="M19" s="319"/>
      <c r="N19" s="39"/>
      <c r="O19" s="39"/>
      <c r="P19" s="39"/>
      <c r="Q19" s="39"/>
      <c r="R19" s="39"/>
    </row>
    <row r="20" spans="1:18" s="6" customFormat="1" ht="36">
      <c r="A20" s="33" t="s">
        <v>333</v>
      </c>
      <c r="B20" s="471"/>
      <c r="C20" s="23"/>
      <c r="D20" s="318">
        <f aca="true" t="shared" si="8" ref="D20:F21">G20+J20</f>
        <v>1149600</v>
      </c>
      <c r="E20" s="318">
        <f t="shared" si="8"/>
        <v>1149600</v>
      </c>
      <c r="F20" s="318">
        <f t="shared" si="8"/>
        <v>1149600</v>
      </c>
      <c r="G20" s="317"/>
      <c r="H20" s="317"/>
      <c r="I20" s="317"/>
      <c r="J20" s="32">
        <v>1149600</v>
      </c>
      <c r="K20" s="317">
        <f t="shared" si="6"/>
        <v>1149600</v>
      </c>
      <c r="L20" s="317">
        <f t="shared" si="7"/>
        <v>1149600</v>
      </c>
      <c r="M20" s="319"/>
      <c r="N20" s="39"/>
      <c r="O20" s="39"/>
      <c r="P20" s="39"/>
      <c r="Q20" s="39"/>
      <c r="R20" s="39"/>
    </row>
    <row r="21" spans="1:18" s="6" customFormat="1" ht="36">
      <c r="A21" s="79" t="s">
        <v>688</v>
      </c>
      <c r="B21" s="470"/>
      <c r="C21" s="23"/>
      <c r="D21" s="318">
        <f t="shared" si="8"/>
        <v>136705.74</v>
      </c>
      <c r="E21" s="318">
        <f t="shared" si="8"/>
        <v>136705.74</v>
      </c>
      <c r="F21" s="318">
        <f t="shared" si="8"/>
        <v>136705.74</v>
      </c>
      <c r="G21" s="317"/>
      <c r="H21" s="317"/>
      <c r="I21" s="317"/>
      <c r="J21" s="32">
        <f>'225 ВнеБ'!F12+'225 ОМС'!F12+'225Б'!F12</f>
        <v>136705.74</v>
      </c>
      <c r="K21" s="317">
        <f t="shared" si="6"/>
        <v>136705.74</v>
      </c>
      <c r="L21" s="317">
        <f t="shared" si="7"/>
        <v>136705.74</v>
      </c>
      <c r="M21" s="319"/>
      <c r="N21" s="39"/>
      <c r="O21" s="39"/>
      <c r="P21" s="39"/>
      <c r="Q21" s="39"/>
      <c r="R21" s="39"/>
    </row>
    <row r="22" spans="1:18" s="6" customFormat="1" ht="36">
      <c r="A22" s="79" t="s">
        <v>203</v>
      </c>
      <c r="B22" s="23"/>
      <c r="C22" s="23"/>
      <c r="D22" s="318">
        <f t="shared" si="3"/>
        <v>33740</v>
      </c>
      <c r="E22" s="318">
        <f t="shared" si="4"/>
        <v>33740</v>
      </c>
      <c r="F22" s="318">
        <f t="shared" si="5"/>
        <v>33740</v>
      </c>
      <c r="G22" s="317"/>
      <c r="H22" s="317">
        <f>G22</f>
        <v>0</v>
      </c>
      <c r="I22" s="317">
        <f>G22</f>
        <v>0</v>
      </c>
      <c r="J22" s="318">
        <f>'225 ВнеБ'!F20+'225 ОМС'!F20</f>
        <v>33740</v>
      </c>
      <c r="K22" s="317">
        <f t="shared" si="6"/>
        <v>33740</v>
      </c>
      <c r="L22" s="317">
        <f t="shared" si="7"/>
        <v>33740</v>
      </c>
      <c r="M22" s="319"/>
      <c r="N22" s="39"/>
      <c r="O22" s="39"/>
      <c r="P22" s="39"/>
      <c r="Q22" s="39"/>
      <c r="R22" s="39"/>
    </row>
    <row r="23" spans="1:18" s="6" customFormat="1" ht="72" hidden="1">
      <c r="A23" s="79" t="s">
        <v>199</v>
      </c>
      <c r="B23" s="282"/>
      <c r="C23" s="23"/>
      <c r="D23" s="318">
        <f t="shared" si="3"/>
        <v>20000</v>
      </c>
      <c r="E23" s="318">
        <f t="shared" si="4"/>
        <v>20000</v>
      </c>
      <c r="F23" s="318">
        <f t="shared" si="5"/>
        <v>0</v>
      </c>
      <c r="G23" s="317">
        <f>'225Б'!F28+'225 ОМС'!F28</f>
        <v>0</v>
      </c>
      <c r="H23" s="317">
        <f>G23</f>
        <v>0</v>
      </c>
      <c r="I23" s="317">
        <f>G23</f>
        <v>0</v>
      </c>
      <c r="J23" s="317">
        <f>'225 ВнеБ'!F28</f>
        <v>20000</v>
      </c>
      <c r="K23" s="317">
        <f t="shared" si="6"/>
        <v>20000</v>
      </c>
      <c r="L23" s="317"/>
      <c r="M23" s="319"/>
      <c r="N23" s="39"/>
      <c r="O23" s="39"/>
      <c r="P23" s="39"/>
      <c r="Q23" s="39"/>
      <c r="R23" s="39"/>
    </row>
    <row r="24" spans="1:18" s="6" customFormat="1" ht="36">
      <c r="A24" s="78" t="s">
        <v>200</v>
      </c>
      <c r="B24" s="368"/>
      <c r="C24" s="23"/>
      <c r="D24" s="318">
        <f t="shared" si="3"/>
        <v>98000</v>
      </c>
      <c r="E24" s="318">
        <f t="shared" si="4"/>
        <v>98000</v>
      </c>
      <c r="F24" s="318">
        <f t="shared" si="5"/>
        <v>98000</v>
      </c>
      <c r="G24" s="317"/>
      <c r="H24" s="317"/>
      <c r="I24" s="317"/>
      <c r="J24" s="318">
        <f>'225 ВнеБ'!F26+'225 ОМС'!F26</f>
        <v>98000</v>
      </c>
      <c r="K24" s="317">
        <f t="shared" si="6"/>
        <v>98000</v>
      </c>
      <c r="L24" s="317">
        <f>J24</f>
        <v>98000</v>
      </c>
      <c r="M24" s="319"/>
      <c r="N24" s="39"/>
      <c r="O24" s="39"/>
      <c r="P24" s="39"/>
      <c r="Q24" s="39"/>
      <c r="R24" s="39"/>
    </row>
    <row r="25" spans="1:18" s="6" customFormat="1" ht="36">
      <c r="A25" s="80" t="s">
        <v>359</v>
      </c>
      <c r="B25" s="389"/>
      <c r="C25" s="23"/>
      <c r="D25" s="318">
        <f t="shared" si="3"/>
        <v>215926</v>
      </c>
      <c r="E25" s="318">
        <f t="shared" si="4"/>
        <v>215926</v>
      </c>
      <c r="F25" s="318">
        <f t="shared" si="5"/>
        <v>215926</v>
      </c>
      <c r="G25" s="317"/>
      <c r="H25" s="317"/>
      <c r="I25" s="317"/>
      <c r="J25" s="318">
        <f>'225Б'!F37+'225 ОМС'!F33+'225 ВнеБ'!F36</f>
        <v>215926</v>
      </c>
      <c r="K25" s="317">
        <f t="shared" si="6"/>
        <v>215926</v>
      </c>
      <c r="L25" s="317">
        <f>J25</f>
        <v>215926</v>
      </c>
      <c r="M25" s="319"/>
      <c r="N25" s="39"/>
      <c r="O25" s="39"/>
      <c r="P25" s="39"/>
      <c r="Q25" s="39"/>
      <c r="R25" s="39"/>
    </row>
    <row r="26" spans="1:18" s="6" customFormat="1" ht="18" hidden="1">
      <c r="A26" s="80"/>
      <c r="B26" s="282"/>
      <c r="C26" s="23"/>
      <c r="D26" s="318">
        <f t="shared" si="3"/>
        <v>0</v>
      </c>
      <c r="E26" s="318">
        <f t="shared" si="4"/>
        <v>0</v>
      </c>
      <c r="F26" s="318">
        <f t="shared" si="5"/>
        <v>0</v>
      </c>
      <c r="G26" s="317"/>
      <c r="H26" s="317"/>
      <c r="I26" s="317"/>
      <c r="J26" s="317">
        <f>'225 ВнеБ'!F32</f>
        <v>0</v>
      </c>
      <c r="K26" s="317">
        <f t="shared" si="6"/>
        <v>0</v>
      </c>
      <c r="L26" s="317">
        <f>J26</f>
        <v>0</v>
      </c>
      <c r="M26" s="319"/>
      <c r="N26" s="39"/>
      <c r="O26" s="39"/>
      <c r="P26" s="39"/>
      <c r="Q26" s="39"/>
      <c r="R26" s="39"/>
    </row>
    <row r="27" spans="1:18" s="6" customFormat="1" ht="18" hidden="1">
      <c r="A27" s="80" t="s">
        <v>543</v>
      </c>
      <c r="B27" s="23"/>
      <c r="C27" s="23"/>
      <c r="D27" s="318">
        <f t="shared" si="3"/>
        <v>0</v>
      </c>
      <c r="E27" s="318">
        <f t="shared" si="4"/>
        <v>0</v>
      </c>
      <c r="F27" s="318">
        <f t="shared" si="5"/>
        <v>0</v>
      </c>
      <c r="G27" s="317"/>
      <c r="H27" s="317"/>
      <c r="I27" s="317"/>
      <c r="J27" s="317"/>
      <c r="K27" s="317"/>
      <c r="L27" s="317"/>
      <c r="M27" s="319"/>
      <c r="N27" s="39"/>
      <c r="O27" s="39"/>
      <c r="P27" s="39"/>
      <c r="Q27" s="39"/>
      <c r="R27" s="39"/>
    </row>
    <row r="28" spans="1:18" s="6" customFormat="1" ht="36" hidden="1">
      <c r="A28" s="79" t="s">
        <v>205</v>
      </c>
      <c r="B28" s="282"/>
      <c r="C28" s="23"/>
      <c r="D28" s="318">
        <f t="shared" si="3"/>
        <v>0</v>
      </c>
      <c r="E28" s="318">
        <f t="shared" si="4"/>
        <v>0</v>
      </c>
      <c r="F28" s="318">
        <f t="shared" si="5"/>
        <v>0</v>
      </c>
      <c r="G28" s="317"/>
      <c r="H28" s="317"/>
      <c r="I28" s="317"/>
      <c r="J28" s="317"/>
      <c r="K28" s="317"/>
      <c r="L28" s="317"/>
      <c r="M28" s="319"/>
      <c r="N28" s="39"/>
      <c r="O28" s="39"/>
      <c r="P28" s="39"/>
      <c r="Q28" s="39"/>
      <c r="R28" s="39"/>
    </row>
    <row r="29" spans="1:18" s="6" customFormat="1" ht="54" hidden="1">
      <c r="A29" s="80" t="s">
        <v>458</v>
      </c>
      <c r="B29" s="23"/>
      <c r="C29" s="23"/>
      <c r="D29" s="318">
        <f t="shared" si="3"/>
        <v>0</v>
      </c>
      <c r="E29" s="318">
        <f t="shared" si="4"/>
        <v>0</v>
      </c>
      <c r="F29" s="318">
        <f t="shared" si="5"/>
        <v>0</v>
      </c>
      <c r="G29" s="317"/>
      <c r="H29" s="317"/>
      <c r="I29" s="317"/>
      <c r="J29" s="317"/>
      <c r="K29" s="317"/>
      <c r="L29" s="317"/>
      <c r="M29" s="319"/>
      <c r="N29" s="39"/>
      <c r="O29" s="39"/>
      <c r="P29" s="39"/>
      <c r="Q29" s="39"/>
      <c r="R29" s="39"/>
    </row>
    <row r="30" spans="1:18" s="26" customFormat="1" ht="36" hidden="1">
      <c r="A30" s="213" t="s">
        <v>459</v>
      </c>
      <c r="B30" s="31"/>
      <c r="C30" s="291"/>
      <c r="D30" s="318">
        <f t="shared" si="3"/>
        <v>0</v>
      </c>
      <c r="E30" s="318">
        <f t="shared" si="4"/>
        <v>0</v>
      </c>
      <c r="F30" s="318">
        <f t="shared" si="5"/>
        <v>0</v>
      </c>
      <c r="G30" s="317"/>
      <c r="H30" s="317"/>
      <c r="I30" s="317"/>
      <c r="J30" s="317"/>
      <c r="K30" s="317"/>
      <c r="L30" s="317"/>
      <c r="M30" s="319"/>
      <c r="N30" s="292"/>
      <c r="O30" s="292"/>
      <c r="P30" s="292"/>
      <c r="Q30" s="292"/>
      <c r="R30" s="292"/>
    </row>
    <row r="31" spans="1:18" s="26" customFormat="1" ht="36" hidden="1">
      <c r="A31" s="213" t="s">
        <v>460</v>
      </c>
      <c r="B31" s="31"/>
      <c r="C31" s="291"/>
      <c r="D31" s="318">
        <f t="shared" si="3"/>
        <v>0</v>
      </c>
      <c r="E31" s="318">
        <f t="shared" si="4"/>
        <v>0</v>
      </c>
      <c r="F31" s="318">
        <f t="shared" si="5"/>
        <v>0</v>
      </c>
      <c r="G31" s="317"/>
      <c r="H31" s="317"/>
      <c r="I31" s="317"/>
      <c r="J31" s="317"/>
      <c r="K31" s="317"/>
      <c r="L31" s="317"/>
      <c r="M31" s="319"/>
      <c r="N31" s="292"/>
      <c r="O31" s="292"/>
      <c r="P31" s="292"/>
      <c r="Q31" s="292"/>
      <c r="R31" s="292"/>
    </row>
    <row r="32" spans="1:18" s="26" customFormat="1" ht="75" customHeight="1" hidden="1">
      <c r="A32" s="213" t="s">
        <v>461</v>
      </c>
      <c r="B32" s="31"/>
      <c r="C32" s="291"/>
      <c r="D32" s="318">
        <f t="shared" si="3"/>
        <v>0</v>
      </c>
      <c r="E32" s="318">
        <f t="shared" si="4"/>
        <v>0</v>
      </c>
      <c r="F32" s="318">
        <f t="shared" si="5"/>
        <v>0</v>
      </c>
      <c r="G32" s="317"/>
      <c r="H32" s="317"/>
      <c r="I32" s="317"/>
      <c r="J32" s="317"/>
      <c r="K32" s="317"/>
      <c r="L32" s="317"/>
      <c r="M32" s="319"/>
      <c r="N32" s="292"/>
      <c r="O32" s="292"/>
      <c r="P32" s="292"/>
      <c r="Q32" s="292"/>
      <c r="R32" s="292"/>
    </row>
    <row r="33" spans="1:18" s="6" customFormat="1" ht="18" hidden="1">
      <c r="A33" s="2" t="s">
        <v>457</v>
      </c>
      <c r="B33" s="282"/>
      <c r="C33" s="23"/>
      <c r="D33" s="318">
        <f t="shared" si="3"/>
        <v>0</v>
      </c>
      <c r="E33" s="318">
        <f t="shared" si="4"/>
        <v>0</v>
      </c>
      <c r="F33" s="318">
        <f t="shared" si="5"/>
        <v>0</v>
      </c>
      <c r="G33" s="317"/>
      <c r="H33" s="317"/>
      <c r="I33" s="317"/>
      <c r="J33" s="317"/>
      <c r="K33" s="317"/>
      <c r="L33" s="317"/>
      <c r="M33" s="319"/>
      <c r="N33" s="39"/>
      <c r="O33" s="39"/>
      <c r="P33" s="39"/>
      <c r="Q33" s="39"/>
      <c r="R33" s="39"/>
    </row>
    <row r="34" spans="1:18" s="6" customFormat="1" ht="36" hidden="1">
      <c r="A34" s="23" t="s">
        <v>455</v>
      </c>
      <c r="B34" s="23"/>
      <c r="C34" s="23"/>
      <c r="D34" s="318">
        <f t="shared" si="3"/>
        <v>0</v>
      </c>
      <c r="E34" s="318">
        <f t="shared" si="4"/>
        <v>0</v>
      </c>
      <c r="F34" s="318">
        <f t="shared" si="5"/>
        <v>0</v>
      </c>
      <c r="G34" s="317"/>
      <c r="H34" s="317"/>
      <c r="I34" s="317"/>
      <c r="J34" s="317"/>
      <c r="K34" s="317"/>
      <c r="L34" s="317"/>
      <c r="M34" s="319"/>
      <c r="N34" s="39"/>
      <c r="O34" s="39"/>
      <c r="P34" s="39"/>
      <c r="Q34" s="39"/>
      <c r="R34" s="39"/>
    </row>
    <row r="35" spans="1:18" s="6" customFormat="1" ht="18" hidden="1">
      <c r="A35" s="2" t="s">
        <v>456</v>
      </c>
      <c r="B35" s="282"/>
      <c r="C35" s="23"/>
      <c r="D35" s="318">
        <f t="shared" si="3"/>
        <v>0</v>
      </c>
      <c r="E35" s="318">
        <f t="shared" si="4"/>
        <v>0</v>
      </c>
      <c r="F35" s="318">
        <f t="shared" si="5"/>
        <v>0</v>
      </c>
      <c r="G35" s="317"/>
      <c r="H35" s="317"/>
      <c r="I35" s="317"/>
      <c r="J35" s="317"/>
      <c r="K35" s="317"/>
      <c r="L35" s="317"/>
      <c r="M35" s="319"/>
      <c r="N35" s="39"/>
      <c r="O35" s="39"/>
      <c r="P35" s="39"/>
      <c r="Q35" s="39"/>
      <c r="R35" s="39"/>
    </row>
    <row r="36" spans="1:18" s="6" customFormat="1" ht="27.75" customHeight="1" hidden="1">
      <c r="A36" s="23"/>
      <c r="B36" s="23"/>
      <c r="C36" s="23"/>
      <c r="D36" s="318">
        <f t="shared" si="3"/>
        <v>0</v>
      </c>
      <c r="E36" s="318">
        <f t="shared" si="4"/>
        <v>0</v>
      </c>
      <c r="F36" s="318">
        <f t="shared" si="5"/>
        <v>0</v>
      </c>
      <c r="G36" s="317"/>
      <c r="H36" s="317"/>
      <c r="I36" s="317"/>
      <c r="J36" s="317"/>
      <c r="K36" s="317"/>
      <c r="L36" s="317"/>
      <c r="M36" s="319"/>
      <c r="N36" s="39"/>
      <c r="O36" s="39"/>
      <c r="P36" s="39"/>
      <c r="Q36" s="39"/>
      <c r="R36" s="39"/>
    </row>
    <row r="37" spans="1:18" s="6" customFormat="1" ht="18" hidden="1">
      <c r="A37" s="80"/>
      <c r="B37" s="282"/>
      <c r="C37" s="23"/>
      <c r="D37" s="318">
        <f t="shared" si="3"/>
        <v>0</v>
      </c>
      <c r="E37" s="318">
        <f t="shared" si="4"/>
        <v>0</v>
      </c>
      <c r="F37" s="318">
        <f t="shared" si="5"/>
        <v>0</v>
      </c>
      <c r="G37" s="317"/>
      <c r="H37" s="317">
        <f aca="true" t="shared" si="9" ref="H37:H43">G37</f>
        <v>0</v>
      </c>
      <c r="I37" s="317">
        <f>G37</f>
        <v>0</v>
      </c>
      <c r="J37" s="317"/>
      <c r="K37" s="317"/>
      <c r="L37" s="317"/>
      <c r="M37" s="319"/>
      <c r="N37" s="39"/>
      <c r="O37" s="39"/>
      <c r="P37" s="39"/>
      <c r="Q37" s="39"/>
      <c r="R37" s="39"/>
    </row>
    <row r="38" spans="1:18" s="6" customFormat="1" ht="18" hidden="1">
      <c r="A38" s="80"/>
      <c r="B38" s="289"/>
      <c r="C38" s="23"/>
      <c r="D38" s="318">
        <f aca="true" t="shared" si="10" ref="D38:D43">G38+J38</f>
        <v>0</v>
      </c>
      <c r="E38" s="318">
        <f aca="true" t="shared" si="11" ref="E38:E43">H38+K38</f>
        <v>0</v>
      </c>
      <c r="F38" s="318">
        <f aca="true" t="shared" si="12" ref="F38:F43">I38+L38</f>
        <v>0</v>
      </c>
      <c r="G38" s="317">
        <f>'226 ОМС'!F29</f>
        <v>0</v>
      </c>
      <c r="H38" s="317">
        <f t="shared" si="9"/>
        <v>0</v>
      </c>
      <c r="I38" s="317">
        <f aca="true" t="shared" si="13" ref="I38:I43">G38</f>
        <v>0</v>
      </c>
      <c r="J38" s="317"/>
      <c r="K38" s="317"/>
      <c r="L38" s="317"/>
      <c r="M38" s="319"/>
      <c r="N38" s="39"/>
      <c r="O38" s="39"/>
      <c r="P38" s="39"/>
      <c r="Q38" s="39"/>
      <c r="R38" s="39"/>
    </row>
    <row r="39" spans="1:18" s="6" customFormat="1" ht="18" hidden="1">
      <c r="A39" s="294"/>
      <c r="B39" s="289"/>
      <c r="C39" s="23"/>
      <c r="D39" s="318">
        <f t="shared" si="10"/>
        <v>0</v>
      </c>
      <c r="E39" s="318">
        <f t="shared" si="11"/>
        <v>0</v>
      </c>
      <c r="F39" s="318">
        <f t="shared" si="12"/>
        <v>0</v>
      </c>
      <c r="G39" s="317"/>
      <c r="H39" s="317">
        <f t="shared" si="9"/>
        <v>0</v>
      </c>
      <c r="I39" s="317">
        <f t="shared" si="13"/>
        <v>0</v>
      </c>
      <c r="J39" s="317"/>
      <c r="K39" s="317"/>
      <c r="L39" s="317"/>
      <c r="M39" s="319"/>
      <c r="N39" s="39"/>
      <c r="O39" s="39"/>
      <c r="P39" s="39"/>
      <c r="Q39" s="39"/>
      <c r="R39" s="39"/>
    </row>
    <row r="40" spans="1:18" s="6" customFormat="1" ht="18" hidden="1">
      <c r="A40" s="293"/>
      <c r="B40" s="289"/>
      <c r="C40" s="23"/>
      <c r="D40" s="318">
        <f t="shared" si="10"/>
        <v>0</v>
      </c>
      <c r="E40" s="318">
        <f t="shared" si="11"/>
        <v>0</v>
      </c>
      <c r="F40" s="318">
        <f t="shared" si="12"/>
        <v>0</v>
      </c>
      <c r="G40" s="317"/>
      <c r="H40" s="317">
        <f t="shared" si="9"/>
        <v>0</v>
      </c>
      <c r="I40" s="317">
        <f t="shared" si="13"/>
        <v>0</v>
      </c>
      <c r="J40" s="317"/>
      <c r="K40" s="317"/>
      <c r="L40" s="317"/>
      <c r="M40" s="319"/>
      <c r="N40" s="39"/>
      <c r="O40" s="39"/>
      <c r="P40" s="39"/>
      <c r="Q40" s="39"/>
      <c r="R40" s="39"/>
    </row>
    <row r="41" spans="1:18" s="6" customFormat="1" ht="18" hidden="1">
      <c r="A41" s="2"/>
      <c r="B41" s="289"/>
      <c r="C41" s="23"/>
      <c r="D41" s="318">
        <f t="shared" si="10"/>
        <v>0</v>
      </c>
      <c r="E41" s="318">
        <f t="shared" si="11"/>
        <v>0</v>
      </c>
      <c r="F41" s="318">
        <f t="shared" si="12"/>
        <v>0</v>
      </c>
      <c r="G41" s="317"/>
      <c r="H41" s="317">
        <f t="shared" si="9"/>
        <v>0</v>
      </c>
      <c r="I41" s="317">
        <f t="shared" si="13"/>
        <v>0</v>
      </c>
      <c r="J41" s="317"/>
      <c r="K41" s="317"/>
      <c r="L41" s="317"/>
      <c r="M41" s="319"/>
      <c r="N41" s="39"/>
      <c r="O41" s="39"/>
      <c r="P41" s="39"/>
      <c r="Q41" s="39"/>
      <c r="R41" s="39"/>
    </row>
    <row r="42" spans="1:18" s="6" customFormat="1" ht="18" hidden="1">
      <c r="A42" s="80"/>
      <c r="B42" s="282"/>
      <c r="C42" s="23"/>
      <c r="D42" s="318">
        <f t="shared" si="10"/>
        <v>0</v>
      </c>
      <c r="E42" s="318">
        <f t="shared" si="11"/>
        <v>0</v>
      </c>
      <c r="F42" s="318">
        <f t="shared" si="12"/>
        <v>0</v>
      </c>
      <c r="G42" s="317"/>
      <c r="H42" s="317">
        <f t="shared" si="9"/>
        <v>0</v>
      </c>
      <c r="I42" s="317">
        <f t="shared" si="13"/>
        <v>0</v>
      </c>
      <c r="J42" s="317"/>
      <c r="K42" s="317"/>
      <c r="L42" s="317"/>
      <c r="M42" s="319"/>
      <c r="N42" s="39"/>
      <c r="O42" s="39"/>
      <c r="P42" s="39"/>
      <c r="Q42" s="39"/>
      <c r="R42" s="39"/>
    </row>
    <row r="43" spans="1:18" s="6" customFormat="1" ht="18" hidden="1">
      <c r="A43" s="2" t="s">
        <v>544</v>
      </c>
      <c r="B43" s="23"/>
      <c r="C43" s="23"/>
      <c r="D43" s="318">
        <f t="shared" si="10"/>
        <v>0</v>
      </c>
      <c r="E43" s="318">
        <f t="shared" si="11"/>
        <v>0</v>
      </c>
      <c r="F43" s="318">
        <f t="shared" si="12"/>
        <v>0</v>
      </c>
      <c r="G43" s="317">
        <f>'225Б'!F32+'225 ОМС'!F23</f>
        <v>0</v>
      </c>
      <c r="H43" s="317">
        <f t="shared" si="9"/>
        <v>0</v>
      </c>
      <c r="I43" s="317">
        <f t="shared" si="13"/>
        <v>0</v>
      </c>
      <c r="J43" s="317"/>
      <c r="K43" s="317"/>
      <c r="L43" s="317"/>
      <c r="M43" s="319"/>
      <c r="N43" s="39"/>
      <c r="O43" s="39"/>
      <c r="P43" s="39"/>
      <c r="Q43" s="39"/>
      <c r="R43" s="39"/>
    </row>
    <row r="44" spans="1:18" s="6" customFormat="1" ht="36" hidden="1">
      <c r="A44" s="2" t="s">
        <v>541</v>
      </c>
      <c r="B44" s="23"/>
      <c r="C44" s="23"/>
      <c r="D44" s="318"/>
      <c r="E44" s="318"/>
      <c r="F44" s="318"/>
      <c r="G44" s="317"/>
      <c r="H44" s="317"/>
      <c r="I44" s="317"/>
      <c r="J44" s="317"/>
      <c r="K44" s="317"/>
      <c r="L44" s="317"/>
      <c r="M44" s="319"/>
      <c r="N44" s="39"/>
      <c r="O44" s="39"/>
      <c r="P44" s="39"/>
      <c r="Q44" s="39"/>
      <c r="R44" s="39"/>
    </row>
    <row r="45" spans="1:18" s="6" customFormat="1" ht="36" hidden="1">
      <c r="A45" s="2" t="s">
        <v>545</v>
      </c>
      <c r="B45" s="289"/>
      <c r="C45" s="23"/>
      <c r="D45" s="318">
        <f aca="true" t="shared" si="14" ref="D45:F48">G45+J45</f>
        <v>0</v>
      </c>
      <c r="E45" s="318">
        <f t="shared" si="14"/>
        <v>0</v>
      </c>
      <c r="F45" s="318">
        <f t="shared" si="14"/>
        <v>0</v>
      </c>
      <c r="G45" s="317"/>
      <c r="H45" s="317"/>
      <c r="I45" s="317"/>
      <c r="J45" s="317"/>
      <c r="K45" s="317"/>
      <c r="L45" s="317"/>
      <c r="M45" s="319"/>
      <c r="N45" s="39"/>
      <c r="O45" s="39"/>
      <c r="P45" s="39"/>
      <c r="Q45" s="39"/>
      <c r="R45" s="39"/>
    </row>
    <row r="46" spans="1:18" s="6" customFormat="1" ht="36" hidden="1">
      <c r="A46" s="23" t="s">
        <v>546</v>
      </c>
      <c r="B46" s="23"/>
      <c r="C46" s="23"/>
      <c r="D46" s="318">
        <f t="shared" si="14"/>
        <v>0</v>
      </c>
      <c r="E46" s="318">
        <f t="shared" si="14"/>
        <v>0</v>
      </c>
      <c r="F46" s="318">
        <f t="shared" si="14"/>
        <v>0</v>
      </c>
      <c r="G46" s="317"/>
      <c r="H46" s="317"/>
      <c r="I46" s="317"/>
      <c r="J46" s="317"/>
      <c r="K46" s="317"/>
      <c r="L46" s="317"/>
      <c r="M46" s="319"/>
      <c r="N46" s="39"/>
      <c r="O46" s="39"/>
      <c r="P46" s="39"/>
      <c r="Q46" s="39"/>
      <c r="R46" s="39"/>
    </row>
    <row r="47" spans="1:18" s="6" customFormat="1" ht="18" hidden="1">
      <c r="A47" s="23"/>
      <c r="B47" s="23"/>
      <c r="C47" s="23"/>
      <c r="D47" s="318">
        <f t="shared" si="14"/>
        <v>0</v>
      </c>
      <c r="E47" s="318">
        <f t="shared" si="14"/>
        <v>0</v>
      </c>
      <c r="F47" s="318">
        <f t="shared" si="14"/>
        <v>0</v>
      </c>
      <c r="G47" s="317"/>
      <c r="H47" s="317"/>
      <c r="I47" s="317"/>
      <c r="J47" s="317"/>
      <c r="K47" s="317"/>
      <c r="L47" s="317"/>
      <c r="M47" s="319"/>
      <c r="N47" s="39"/>
      <c r="O47" s="39"/>
      <c r="P47" s="39"/>
      <c r="Q47" s="39"/>
      <c r="R47" s="39"/>
    </row>
    <row r="48" spans="1:18" s="6" customFormat="1" ht="18" hidden="1">
      <c r="A48" s="23" t="s">
        <v>553</v>
      </c>
      <c r="B48" s="23"/>
      <c r="C48" s="23"/>
      <c r="D48" s="318">
        <f t="shared" si="14"/>
        <v>0</v>
      </c>
      <c r="E48" s="318">
        <f t="shared" si="14"/>
        <v>0</v>
      </c>
      <c r="F48" s="318">
        <f t="shared" si="14"/>
        <v>0</v>
      </c>
      <c r="G48" s="317"/>
      <c r="H48" s="317"/>
      <c r="I48" s="317"/>
      <c r="J48" s="317"/>
      <c r="K48" s="317"/>
      <c r="L48" s="317"/>
      <c r="M48" s="319"/>
      <c r="N48" s="39"/>
      <c r="O48" s="39"/>
      <c r="P48" s="39"/>
      <c r="Q48" s="39"/>
      <c r="R48" s="39"/>
    </row>
    <row r="49" spans="1:18" s="6" customFormat="1" ht="18" hidden="1">
      <c r="A49" s="2" t="s">
        <v>519</v>
      </c>
      <c r="B49" s="23"/>
      <c r="C49" s="23"/>
      <c r="D49" s="318">
        <f aca="true" t="shared" si="15" ref="D49:D54">G49+J49</f>
        <v>0</v>
      </c>
      <c r="E49" s="318">
        <f t="shared" si="4"/>
        <v>0</v>
      </c>
      <c r="F49" s="318">
        <f t="shared" si="5"/>
        <v>0</v>
      </c>
      <c r="G49" s="317"/>
      <c r="H49" s="317"/>
      <c r="I49" s="317"/>
      <c r="J49" s="317"/>
      <c r="K49" s="317"/>
      <c r="L49" s="317"/>
      <c r="M49" s="319"/>
      <c r="N49" s="39"/>
      <c r="O49" s="39"/>
      <c r="P49" s="39"/>
      <c r="Q49" s="39"/>
      <c r="R49" s="39"/>
    </row>
    <row r="50" spans="1:18" s="6" customFormat="1" ht="18" hidden="1">
      <c r="A50" s="2" t="s">
        <v>547</v>
      </c>
      <c r="B50" s="23"/>
      <c r="C50" s="23"/>
      <c r="D50" s="318">
        <f t="shared" si="15"/>
        <v>0</v>
      </c>
      <c r="E50" s="318">
        <f t="shared" si="4"/>
        <v>0</v>
      </c>
      <c r="F50" s="318">
        <f t="shared" si="5"/>
        <v>0</v>
      </c>
      <c r="G50" s="317"/>
      <c r="H50" s="317"/>
      <c r="I50" s="317"/>
      <c r="J50" s="317"/>
      <c r="K50" s="317">
        <f aca="true" t="shared" si="16" ref="K50:K55">J50</f>
        <v>0</v>
      </c>
      <c r="L50" s="317">
        <f aca="true" t="shared" si="17" ref="L50:L55">J50</f>
        <v>0</v>
      </c>
      <c r="M50" s="319"/>
      <c r="N50" s="39"/>
      <c r="O50" s="39"/>
      <c r="P50" s="39"/>
      <c r="Q50" s="39"/>
      <c r="R50" s="39"/>
    </row>
    <row r="51" spans="1:18" s="6" customFormat="1" ht="18" hidden="1">
      <c r="A51" s="2" t="s">
        <v>548</v>
      </c>
      <c r="B51" s="23"/>
      <c r="C51" s="23"/>
      <c r="D51" s="318">
        <f t="shared" si="15"/>
        <v>0</v>
      </c>
      <c r="E51" s="318">
        <f t="shared" si="4"/>
        <v>0</v>
      </c>
      <c r="F51" s="318">
        <f t="shared" si="5"/>
        <v>0</v>
      </c>
      <c r="G51" s="317"/>
      <c r="H51" s="317"/>
      <c r="I51" s="317"/>
      <c r="J51" s="317"/>
      <c r="K51" s="317">
        <f t="shared" si="16"/>
        <v>0</v>
      </c>
      <c r="L51" s="317">
        <f t="shared" si="17"/>
        <v>0</v>
      </c>
      <c r="M51" s="319"/>
      <c r="N51" s="39"/>
      <c r="O51" s="39"/>
      <c r="P51" s="39"/>
      <c r="Q51" s="39"/>
      <c r="R51" s="39"/>
    </row>
    <row r="52" spans="1:18" s="6" customFormat="1" ht="18" hidden="1">
      <c r="A52" s="2" t="s">
        <v>521</v>
      </c>
      <c r="B52" s="23"/>
      <c r="C52" s="23"/>
      <c r="D52" s="318" t="e">
        <f t="shared" si="15"/>
        <v>#REF!</v>
      </c>
      <c r="E52" s="318" t="e">
        <f t="shared" si="4"/>
        <v>#REF!</v>
      </c>
      <c r="F52" s="318" t="e">
        <f t="shared" si="5"/>
        <v>#REF!</v>
      </c>
      <c r="G52" s="317" t="e">
        <f>'225Б'!#REF!</f>
        <v>#REF!</v>
      </c>
      <c r="H52" s="317" t="e">
        <f aca="true" t="shared" si="18" ref="H52:H60">G52</f>
        <v>#REF!</v>
      </c>
      <c r="I52" s="317" t="e">
        <f aca="true" t="shared" si="19" ref="I52:I60">G52</f>
        <v>#REF!</v>
      </c>
      <c r="J52" s="317"/>
      <c r="K52" s="317">
        <f t="shared" si="16"/>
        <v>0</v>
      </c>
      <c r="L52" s="317">
        <f t="shared" si="17"/>
        <v>0</v>
      </c>
      <c r="M52" s="319"/>
      <c r="N52" s="39"/>
      <c r="O52" s="39"/>
      <c r="P52" s="39"/>
      <c r="Q52" s="39"/>
      <c r="R52" s="39"/>
    </row>
    <row r="53" spans="1:18" s="6" customFormat="1" ht="18" hidden="1">
      <c r="A53" s="2" t="s">
        <v>520</v>
      </c>
      <c r="B53" s="23"/>
      <c r="C53" s="23"/>
      <c r="D53" s="318" t="e">
        <f t="shared" si="15"/>
        <v>#REF!</v>
      </c>
      <c r="E53" s="318" t="e">
        <f t="shared" si="4"/>
        <v>#REF!</v>
      </c>
      <c r="F53" s="318" t="e">
        <f t="shared" si="5"/>
        <v>#REF!</v>
      </c>
      <c r="G53" s="317" t="e">
        <f>'225Б'!#REF!</f>
        <v>#REF!</v>
      </c>
      <c r="H53" s="317" t="e">
        <f t="shared" si="18"/>
        <v>#REF!</v>
      </c>
      <c r="I53" s="317" t="e">
        <f t="shared" si="19"/>
        <v>#REF!</v>
      </c>
      <c r="J53" s="317"/>
      <c r="K53" s="317">
        <f t="shared" si="16"/>
        <v>0</v>
      </c>
      <c r="L53" s="317">
        <f t="shared" si="17"/>
        <v>0</v>
      </c>
      <c r="M53" s="319"/>
      <c r="N53" s="39"/>
      <c r="O53" s="39"/>
      <c r="P53" s="39"/>
      <c r="Q53" s="39"/>
      <c r="R53" s="39"/>
    </row>
    <row r="54" spans="1:18" s="6" customFormat="1" ht="18" hidden="1">
      <c r="A54" s="2" t="s">
        <v>550</v>
      </c>
      <c r="B54" s="23"/>
      <c r="C54" s="23"/>
      <c r="D54" s="318" t="e">
        <f t="shared" si="15"/>
        <v>#REF!</v>
      </c>
      <c r="E54" s="318" t="e">
        <f t="shared" si="4"/>
        <v>#REF!</v>
      </c>
      <c r="F54" s="318" t="e">
        <f t="shared" si="5"/>
        <v>#REF!</v>
      </c>
      <c r="G54" s="317" t="e">
        <f>'225Б'!#REF!</f>
        <v>#REF!</v>
      </c>
      <c r="H54" s="317" t="e">
        <f t="shared" si="18"/>
        <v>#REF!</v>
      </c>
      <c r="I54" s="317" t="e">
        <f t="shared" si="19"/>
        <v>#REF!</v>
      </c>
      <c r="J54" s="317"/>
      <c r="K54" s="317">
        <f t="shared" si="16"/>
        <v>0</v>
      </c>
      <c r="L54" s="317">
        <f t="shared" si="17"/>
        <v>0</v>
      </c>
      <c r="M54" s="319"/>
      <c r="N54" s="39"/>
      <c r="O54" s="39"/>
      <c r="P54" s="39"/>
      <c r="Q54" s="39"/>
      <c r="R54" s="39"/>
    </row>
    <row r="55" spans="1:18" s="6" customFormat="1" ht="54">
      <c r="A55" s="80" t="s">
        <v>215</v>
      </c>
      <c r="B55" s="23"/>
      <c r="C55" s="23"/>
      <c r="D55" s="318">
        <f>G55+J55</f>
        <v>10458</v>
      </c>
      <c r="E55" s="318">
        <f t="shared" si="4"/>
        <v>10458</v>
      </c>
      <c r="F55" s="318">
        <f t="shared" si="5"/>
        <v>10458</v>
      </c>
      <c r="G55" s="317"/>
      <c r="H55" s="317">
        <f t="shared" si="18"/>
        <v>0</v>
      </c>
      <c r="I55" s="317">
        <f t="shared" si="19"/>
        <v>0</v>
      </c>
      <c r="J55" s="318">
        <v>10458</v>
      </c>
      <c r="K55" s="317">
        <f t="shared" si="16"/>
        <v>10458</v>
      </c>
      <c r="L55" s="317">
        <f t="shared" si="17"/>
        <v>10458</v>
      </c>
      <c r="M55" s="319"/>
      <c r="N55" s="39"/>
      <c r="O55" s="39"/>
      <c r="P55" s="39"/>
      <c r="Q55" s="39"/>
      <c r="R55" s="39"/>
    </row>
    <row r="56" spans="1:18" s="6" customFormat="1" ht="36">
      <c r="A56" s="2" t="s">
        <v>542</v>
      </c>
      <c r="B56" s="23"/>
      <c r="C56" s="23"/>
      <c r="D56" s="318">
        <f aca="true" t="shared" si="20" ref="D56:D69">G56+J56</f>
        <v>140000</v>
      </c>
      <c r="E56" s="318">
        <f t="shared" si="4"/>
        <v>140000</v>
      </c>
      <c r="F56" s="318">
        <f t="shared" si="5"/>
        <v>140000</v>
      </c>
      <c r="G56" s="317"/>
      <c r="H56" s="317">
        <f t="shared" si="18"/>
        <v>0</v>
      </c>
      <c r="I56" s="317">
        <f t="shared" si="19"/>
        <v>0</v>
      </c>
      <c r="J56" s="318">
        <f>'226 ВнеБ'!F16</f>
        <v>140000</v>
      </c>
      <c r="K56" s="317">
        <f>J56</f>
        <v>140000</v>
      </c>
      <c r="L56" s="317">
        <f>J56</f>
        <v>140000</v>
      </c>
      <c r="M56" s="319"/>
      <c r="N56" s="39"/>
      <c r="O56" s="39"/>
      <c r="P56" s="39"/>
      <c r="Q56" s="39"/>
      <c r="R56" s="39"/>
    </row>
    <row r="57" spans="1:18" s="6" customFormat="1" ht="18" hidden="1">
      <c r="A57" s="2" t="s">
        <v>523</v>
      </c>
      <c r="B57" s="23"/>
      <c r="C57" s="23"/>
      <c r="D57" s="318">
        <f t="shared" si="20"/>
        <v>0</v>
      </c>
      <c r="E57" s="318">
        <f t="shared" si="4"/>
        <v>0</v>
      </c>
      <c r="F57" s="318">
        <f t="shared" si="5"/>
        <v>0</v>
      </c>
      <c r="G57" s="317">
        <f>'226 Б'!F20</f>
        <v>0</v>
      </c>
      <c r="H57" s="317">
        <f t="shared" si="18"/>
        <v>0</v>
      </c>
      <c r="I57" s="317">
        <f t="shared" si="19"/>
        <v>0</v>
      </c>
      <c r="J57" s="317"/>
      <c r="K57" s="317">
        <f>J57</f>
        <v>0</v>
      </c>
      <c r="L57" s="317">
        <f>J57</f>
        <v>0</v>
      </c>
      <c r="M57" s="319"/>
      <c r="N57" s="39"/>
      <c r="O57" s="39"/>
      <c r="P57" s="39"/>
      <c r="Q57" s="39"/>
      <c r="R57" s="39"/>
    </row>
    <row r="58" spans="1:18" s="6" customFormat="1" ht="18" hidden="1">
      <c r="A58" s="2" t="s">
        <v>554</v>
      </c>
      <c r="B58" s="23"/>
      <c r="C58" s="23"/>
      <c r="D58" s="318">
        <f t="shared" si="20"/>
        <v>0</v>
      </c>
      <c r="E58" s="318">
        <f t="shared" si="4"/>
        <v>0</v>
      </c>
      <c r="F58" s="318">
        <f t="shared" si="5"/>
        <v>0</v>
      </c>
      <c r="G58" s="317">
        <f>'226 ОМС'!F18</f>
        <v>0</v>
      </c>
      <c r="H58" s="317">
        <f t="shared" si="18"/>
        <v>0</v>
      </c>
      <c r="I58" s="317">
        <f t="shared" si="19"/>
        <v>0</v>
      </c>
      <c r="J58" s="317"/>
      <c r="K58" s="317"/>
      <c r="L58" s="317"/>
      <c r="M58" s="319"/>
      <c r="N58" s="39"/>
      <c r="O58" s="39"/>
      <c r="P58" s="39"/>
      <c r="Q58" s="39"/>
      <c r="R58" s="39"/>
    </row>
    <row r="59" spans="1:18" s="6" customFormat="1" ht="36" hidden="1">
      <c r="A59" s="2" t="s">
        <v>551</v>
      </c>
      <c r="B59" s="23"/>
      <c r="C59" s="23"/>
      <c r="D59" s="318">
        <f t="shared" si="20"/>
        <v>0</v>
      </c>
      <c r="E59" s="318">
        <f t="shared" si="4"/>
        <v>0</v>
      </c>
      <c r="F59" s="318">
        <f t="shared" si="5"/>
        <v>0</v>
      </c>
      <c r="G59" s="317">
        <f>'226 Б'!F21+'226 ОМС'!F19</f>
        <v>0</v>
      </c>
      <c r="H59" s="317">
        <f t="shared" si="18"/>
        <v>0</v>
      </c>
      <c r="I59" s="317">
        <f t="shared" si="19"/>
        <v>0</v>
      </c>
      <c r="J59" s="317"/>
      <c r="K59" s="317">
        <f>J59</f>
        <v>0</v>
      </c>
      <c r="L59" s="317">
        <f>J59</f>
        <v>0</v>
      </c>
      <c r="M59" s="319"/>
      <c r="N59" s="39"/>
      <c r="O59" s="39"/>
      <c r="P59" s="39"/>
      <c r="Q59" s="39"/>
      <c r="R59" s="39"/>
    </row>
    <row r="60" spans="1:18" s="6" customFormat="1" ht="18" hidden="1">
      <c r="A60" s="2"/>
      <c r="B60" s="23"/>
      <c r="C60" s="23"/>
      <c r="D60" s="318">
        <f t="shared" si="20"/>
        <v>0</v>
      </c>
      <c r="E60" s="318">
        <f t="shared" si="4"/>
        <v>0</v>
      </c>
      <c r="F60" s="318">
        <f t="shared" si="5"/>
        <v>0</v>
      </c>
      <c r="G60" s="317"/>
      <c r="H60" s="317">
        <f t="shared" si="18"/>
        <v>0</v>
      </c>
      <c r="I60" s="317">
        <f t="shared" si="19"/>
        <v>0</v>
      </c>
      <c r="J60" s="317"/>
      <c r="K60" s="317">
        <f>J60</f>
        <v>0</v>
      </c>
      <c r="L60" s="317">
        <f>J60</f>
        <v>0</v>
      </c>
      <c r="M60" s="319"/>
      <c r="N60" s="39"/>
      <c r="O60" s="39"/>
      <c r="P60" s="39"/>
      <c r="Q60" s="39"/>
      <c r="R60" s="39"/>
    </row>
    <row r="61" spans="1:18" s="6" customFormat="1" ht="18" hidden="1">
      <c r="A61" s="2"/>
      <c r="B61" s="23"/>
      <c r="C61" s="23"/>
      <c r="D61" s="318">
        <f t="shared" si="20"/>
        <v>0</v>
      </c>
      <c r="E61" s="318">
        <f t="shared" si="4"/>
        <v>0</v>
      </c>
      <c r="F61" s="318">
        <f t="shared" si="5"/>
        <v>0</v>
      </c>
      <c r="G61" s="317"/>
      <c r="H61" s="317"/>
      <c r="I61" s="317"/>
      <c r="J61" s="317">
        <f>'226 ВнеБ'!F20</f>
        <v>0</v>
      </c>
      <c r="K61" s="317">
        <f>J61</f>
        <v>0</v>
      </c>
      <c r="L61" s="317">
        <f>J61</f>
        <v>0</v>
      </c>
      <c r="M61" s="319"/>
      <c r="N61" s="39"/>
      <c r="O61" s="39"/>
      <c r="P61" s="39"/>
      <c r="Q61" s="39"/>
      <c r="R61" s="39"/>
    </row>
    <row r="62" spans="1:18" s="6" customFormat="1" ht="18" hidden="1">
      <c r="A62" s="2"/>
      <c r="B62" s="23"/>
      <c r="C62" s="23"/>
      <c r="D62" s="318">
        <f t="shared" si="20"/>
        <v>0</v>
      </c>
      <c r="E62" s="318">
        <f t="shared" si="4"/>
        <v>0</v>
      </c>
      <c r="F62" s="318">
        <f t="shared" si="5"/>
        <v>0</v>
      </c>
      <c r="G62" s="317"/>
      <c r="H62" s="317"/>
      <c r="I62" s="317"/>
      <c r="J62" s="317"/>
      <c r="K62" s="317"/>
      <c r="L62" s="317"/>
      <c r="M62" s="319"/>
      <c r="N62" s="39"/>
      <c r="O62" s="39"/>
      <c r="P62" s="39"/>
      <c r="Q62" s="39"/>
      <c r="R62" s="39"/>
    </row>
    <row r="63" spans="1:18" s="6" customFormat="1" ht="18" hidden="1">
      <c r="A63" s="2"/>
      <c r="B63" s="23"/>
      <c r="C63" s="23"/>
      <c r="D63" s="318">
        <f t="shared" si="20"/>
        <v>0</v>
      </c>
      <c r="E63" s="318">
        <f t="shared" si="4"/>
        <v>0</v>
      </c>
      <c r="F63" s="318">
        <f t="shared" si="5"/>
        <v>0</v>
      </c>
      <c r="G63" s="317"/>
      <c r="H63" s="317"/>
      <c r="I63" s="317"/>
      <c r="J63" s="317"/>
      <c r="K63" s="317"/>
      <c r="L63" s="317"/>
      <c r="M63" s="319"/>
      <c r="N63" s="39"/>
      <c r="O63" s="39"/>
      <c r="P63" s="39"/>
      <c r="Q63" s="39"/>
      <c r="R63" s="39"/>
    </row>
    <row r="64" spans="1:18" s="6" customFormat="1" ht="18" hidden="1">
      <c r="A64" s="2"/>
      <c r="B64" s="23"/>
      <c r="C64" s="23"/>
      <c r="D64" s="318">
        <f t="shared" si="20"/>
        <v>0</v>
      </c>
      <c r="E64" s="318">
        <f t="shared" si="4"/>
        <v>0</v>
      </c>
      <c r="F64" s="318">
        <f t="shared" si="5"/>
        <v>0</v>
      </c>
      <c r="G64" s="317"/>
      <c r="H64" s="317"/>
      <c r="I64" s="317"/>
      <c r="J64" s="317">
        <f>'226 ВнеБ'!F21</f>
        <v>0</v>
      </c>
      <c r="K64" s="317">
        <f>J64</f>
        <v>0</v>
      </c>
      <c r="L64" s="317">
        <f>J64</f>
        <v>0</v>
      </c>
      <c r="M64" s="319"/>
      <c r="N64" s="39"/>
      <c r="O64" s="39"/>
      <c r="P64" s="39"/>
      <c r="Q64" s="39"/>
      <c r="R64" s="39"/>
    </row>
    <row r="65" spans="1:18" s="6" customFormat="1" ht="18" hidden="1">
      <c r="A65" s="2"/>
      <c r="B65" s="23"/>
      <c r="C65" s="23"/>
      <c r="D65" s="318">
        <f t="shared" si="20"/>
        <v>0</v>
      </c>
      <c r="E65" s="318">
        <f t="shared" si="4"/>
        <v>0</v>
      </c>
      <c r="F65" s="318">
        <f t="shared" si="5"/>
        <v>0</v>
      </c>
      <c r="G65" s="317"/>
      <c r="H65" s="317"/>
      <c r="I65" s="317"/>
      <c r="J65" s="317">
        <f>'226 ВнеБ'!F23</f>
        <v>0</v>
      </c>
      <c r="K65" s="317">
        <f>J65</f>
        <v>0</v>
      </c>
      <c r="L65" s="317">
        <f>J65</f>
        <v>0</v>
      </c>
      <c r="M65" s="319"/>
      <c r="N65" s="39"/>
      <c r="O65" s="39"/>
      <c r="P65" s="39"/>
      <c r="Q65" s="39"/>
      <c r="R65" s="39"/>
    </row>
    <row r="66" spans="1:18" s="6" customFormat="1" ht="18" hidden="1">
      <c r="A66" s="2"/>
      <c r="B66" s="23"/>
      <c r="C66" s="23"/>
      <c r="D66" s="318">
        <f t="shared" si="20"/>
        <v>0</v>
      </c>
      <c r="E66" s="318">
        <f t="shared" si="4"/>
        <v>0</v>
      </c>
      <c r="F66" s="318">
        <f t="shared" si="5"/>
        <v>0</v>
      </c>
      <c r="G66" s="317"/>
      <c r="H66" s="317"/>
      <c r="I66" s="317"/>
      <c r="J66" s="317"/>
      <c r="K66" s="317"/>
      <c r="L66" s="317"/>
      <c r="M66" s="319"/>
      <c r="N66" s="39"/>
      <c r="O66" s="39"/>
      <c r="P66" s="39"/>
      <c r="Q66" s="39"/>
      <c r="R66" s="39"/>
    </row>
    <row r="67" spans="1:18" s="6" customFormat="1" ht="36" hidden="1">
      <c r="A67" s="2" t="s">
        <v>552</v>
      </c>
      <c r="B67" s="23"/>
      <c r="C67" s="23"/>
      <c r="D67" s="318">
        <f t="shared" si="20"/>
        <v>0</v>
      </c>
      <c r="E67" s="318">
        <f t="shared" si="4"/>
        <v>0</v>
      </c>
      <c r="F67" s="318">
        <f t="shared" si="5"/>
        <v>0</v>
      </c>
      <c r="G67" s="317"/>
      <c r="H67" s="317"/>
      <c r="I67" s="317"/>
      <c r="J67" s="317">
        <f>'226 ВнеБ'!F25</f>
        <v>0</v>
      </c>
      <c r="K67" s="317">
        <f>J67</f>
        <v>0</v>
      </c>
      <c r="L67" s="317">
        <f>J67</f>
        <v>0</v>
      </c>
      <c r="M67" s="319"/>
      <c r="N67" s="39"/>
      <c r="O67" s="39"/>
      <c r="P67" s="39"/>
      <c r="Q67" s="39"/>
      <c r="R67" s="39"/>
    </row>
    <row r="68" spans="1:18" s="6" customFormat="1" ht="30.75" customHeight="1" hidden="1">
      <c r="A68" s="2"/>
      <c r="B68" s="23"/>
      <c r="C68" s="23"/>
      <c r="D68" s="318">
        <f t="shared" si="20"/>
        <v>0</v>
      </c>
      <c r="E68" s="318">
        <f t="shared" si="4"/>
        <v>0</v>
      </c>
      <c r="F68" s="318">
        <f t="shared" si="5"/>
        <v>0</v>
      </c>
      <c r="G68" s="317">
        <f>'226 Б'!F39</f>
        <v>0</v>
      </c>
      <c r="H68" s="317">
        <f>G68</f>
        <v>0</v>
      </c>
      <c r="I68" s="317">
        <f>G68</f>
        <v>0</v>
      </c>
      <c r="J68" s="317"/>
      <c r="K68" s="317"/>
      <c r="L68" s="317"/>
      <c r="M68" s="319"/>
      <c r="N68" s="39"/>
      <c r="O68" s="39"/>
      <c r="P68" s="39"/>
      <c r="Q68" s="39"/>
      <c r="R68" s="39"/>
    </row>
    <row r="69" spans="1:18" s="6" customFormat="1" ht="54">
      <c r="A69" s="80" t="s">
        <v>213</v>
      </c>
      <c r="B69" s="23"/>
      <c r="C69" s="23"/>
      <c r="D69" s="318">
        <f t="shared" si="20"/>
        <v>276167.24</v>
      </c>
      <c r="E69" s="318">
        <f t="shared" si="4"/>
        <v>276167.24</v>
      </c>
      <c r="F69" s="318">
        <f t="shared" si="5"/>
        <v>276167.24</v>
      </c>
      <c r="G69" s="317"/>
      <c r="H69" s="317">
        <f>G69</f>
        <v>0</v>
      </c>
      <c r="I69" s="317">
        <f>G69</f>
        <v>0</v>
      </c>
      <c r="J69" s="318">
        <f>J72+J73+J74+J76+J71+J75</f>
        <v>276167.24</v>
      </c>
      <c r="K69" s="318">
        <f>J69</f>
        <v>276167.24</v>
      </c>
      <c r="L69" s="318">
        <f>J69</f>
        <v>276167.24</v>
      </c>
      <c r="M69" s="319"/>
      <c r="N69" s="39"/>
      <c r="O69" s="39"/>
      <c r="P69" s="39"/>
      <c r="Q69" s="39"/>
      <c r="R69" s="39"/>
    </row>
    <row r="70" spans="1:18" s="6" customFormat="1" ht="18">
      <c r="A70" s="80" t="s">
        <v>40</v>
      </c>
      <c r="B70" s="23"/>
      <c r="C70" s="23"/>
      <c r="D70" s="318">
        <f aca="true" t="shared" si="21" ref="D70:D81">G70+J70</f>
        <v>0</v>
      </c>
      <c r="E70" s="318">
        <f aca="true" t="shared" si="22" ref="E70:E81">H70+K70</f>
        <v>0</v>
      </c>
      <c r="F70" s="318">
        <f aca="true" t="shared" si="23" ref="F70:F81">I70+L70</f>
        <v>0</v>
      </c>
      <c r="G70" s="317">
        <f>'226 Б'!F41</f>
        <v>0</v>
      </c>
      <c r="H70" s="317">
        <f>G70</f>
        <v>0</v>
      </c>
      <c r="I70" s="317">
        <f>G70</f>
        <v>0</v>
      </c>
      <c r="J70" s="317"/>
      <c r="K70" s="317">
        <f aca="true" t="shared" si="24" ref="K70:K80">J70</f>
        <v>0</v>
      </c>
      <c r="L70" s="317">
        <f aca="true" t="shared" si="25" ref="L70:L76">J70</f>
        <v>0</v>
      </c>
      <c r="M70" s="319"/>
      <c r="N70" s="39"/>
      <c r="O70" s="39"/>
      <c r="P70" s="39"/>
      <c r="Q70" s="39"/>
      <c r="R70" s="39"/>
    </row>
    <row r="71" spans="1:18" s="6" customFormat="1" ht="18">
      <c r="A71" s="80" t="s">
        <v>693</v>
      </c>
      <c r="B71" s="23"/>
      <c r="C71" s="23"/>
      <c r="D71" s="318">
        <f t="shared" si="21"/>
        <v>2100</v>
      </c>
      <c r="E71" s="318">
        <f t="shared" si="22"/>
        <v>2100</v>
      </c>
      <c r="F71" s="318">
        <f t="shared" si="23"/>
        <v>2100</v>
      </c>
      <c r="G71" s="317"/>
      <c r="H71" s="317"/>
      <c r="I71" s="317"/>
      <c r="J71" s="317">
        <f>'226 ВнеБ'!F26</f>
        <v>2100</v>
      </c>
      <c r="K71" s="317">
        <f t="shared" si="24"/>
        <v>2100</v>
      </c>
      <c r="L71" s="317">
        <f t="shared" si="25"/>
        <v>2100</v>
      </c>
      <c r="M71" s="319"/>
      <c r="N71" s="39"/>
      <c r="O71" s="39"/>
      <c r="P71" s="39"/>
      <c r="Q71" s="39"/>
      <c r="R71" s="39"/>
    </row>
    <row r="72" spans="1:18" s="6" customFormat="1" ht="36">
      <c r="A72" s="80" t="s">
        <v>536</v>
      </c>
      <c r="B72" s="23"/>
      <c r="C72" s="23"/>
      <c r="D72" s="318">
        <f t="shared" si="21"/>
        <v>7480</v>
      </c>
      <c r="E72" s="318">
        <f t="shared" si="22"/>
        <v>7480</v>
      </c>
      <c r="F72" s="318">
        <f t="shared" si="23"/>
        <v>7480</v>
      </c>
      <c r="G72" s="317"/>
      <c r="H72" s="317"/>
      <c r="I72" s="317"/>
      <c r="J72" s="317">
        <f>'226 ОМС'!F23</f>
        <v>7480</v>
      </c>
      <c r="K72" s="317">
        <f t="shared" si="24"/>
        <v>7480</v>
      </c>
      <c r="L72" s="317">
        <f t="shared" si="25"/>
        <v>7480</v>
      </c>
      <c r="M72" s="319"/>
      <c r="N72" s="39"/>
      <c r="O72" s="39"/>
      <c r="P72" s="39"/>
      <c r="Q72" s="39"/>
      <c r="R72" s="39"/>
    </row>
    <row r="73" spans="1:18" s="6" customFormat="1" ht="36">
      <c r="A73" s="80" t="s">
        <v>639</v>
      </c>
      <c r="B73" s="23"/>
      <c r="C73" s="23"/>
      <c r="D73" s="318">
        <f t="shared" si="21"/>
        <v>13810</v>
      </c>
      <c r="E73" s="318">
        <f t="shared" si="22"/>
        <v>13810</v>
      </c>
      <c r="F73" s="318">
        <f t="shared" si="23"/>
        <v>13810</v>
      </c>
      <c r="G73" s="317"/>
      <c r="H73" s="317"/>
      <c r="I73" s="317"/>
      <c r="J73" s="317">
        <f>'226 ОМС'!F24</f>
        <v>13810</v>
      </c>
      <c r="K73" s="317">
        <f t="shared" si="24"/>
        <v>13810</v>
      </c>
      <c r="L73" s="317">
        <f t="shared" si="25"/>
        <v>13810</v>
      </c>
      <c r="M73" s="319"/>
      <c r="N73" s="39"/>
      <c r="O73" s="39"/>
      <c r="P73" s="39"/>
      <c r="Q73" s="39"/>
      <c r="R73" s="39"/>
    </row>
    <row r="74" spans="1:18" s="6" customFormat="1" ht="36" hidden="1">
      <c r="A74" s="80" t="s">
        <v>447</v>
      </c>
      <c r="B74" s="23"/>
      <c r="C74" s="23"/>
      <c r="D74" s="318">
        <f t="shared" si="21"/>
        <v>0</v>
      </c>
      <c r="E74" s="318">
        <f t="shared" si="22"/>
        <v>0</v>
      </c>
      <c r="F74" s="318">
        <f t="shared" si="23"/>
        <v>0</v>
      </c>
      <c r="G74" s="317"/>
      <c r="H74" s="317"/>
      <c r="I74" s="317"/>
      <c r="J74" s="317">
        <f>'226 ОМС'!F25</f>
        <v>0</v>
      </c>
      <c r="K74" s="317">
        <f t="shared" si="24"/>
        <v>0</v>
      </c>
      <c r="L74" s="317">
        <f t="shared" si="25"/>
        <v>0</v>
      </c>
      <c r="M74" s="319"/>
      <c r="N74" s="39"/>
      <c r="O74" s="39"/>
      <c r="P74" s="39"/>
      <c r="Q74" s="39"/>
      <c r="R74" s="39"/>
    </row>
    <row r="75" spans="1:18" s="6" customFormat="1" ht="36">
      <c r="A75" s="80" t="s">
        <v>709</v>
      </c>
      <c r="B75" s="23"/>
      <c r="C75" s="23"/>
      <c r="D75" s="318">
        <f>G75+J75</f>
        <v>198000</v>
      </c>
      <c r="E75" s="318">
        <f>H75+K75</f>
        <v>198000</v>
      </c>
      <c r="F75" s="318">
        <f>I75+L75</f>
        <v>198000</v>
      </c>
      <c r="G75" s="317"/>
      <c r="H75" s="317"/>
      <c r="I75" s="317"/>
      <c r="J75" s="317">
        <f>'226 ОМС'!F22</f>
        <v>198000</v>
      </c>
      <c r="K75" s="317">
        <f>J75</f>
        <v>198000</v>
      </c>
      <c r="L75" s="317">
        <f>J75</f>
        <v>198000</v>
      </c>
      <c r="M75" s="319"/>
      <c r="N75" s="39"/>
      <c r="O75" s="39"/>
      <c r="P75" s="39"/>
      <c r="Q75" s="39"/>
      <c r="R75" s="39"/>
    </row>
    <row r="76" spans="1:18" s="6" customFormat="1" ht="36">
      <c r="A76" s="80" t="s">
        <v>637</v>
      </c>
      <c r="B76" s="23"/>
      <c r="C76" s="23"/>
      <c r="D76" s="318">
        <f t="shared" si="21"/>
        <v>54777.24</v>
      </c>
      <c r="E76" s="318">
        <f t="shared" si="22"/>
        <v>54777.24</v>
      </c>
      <c r="F76" s="318">
        <f t="shared" si="23"/>
        <v>54777.24</v>
      </c>
      <c r="G76" s="317"/>
      <c r="H76" s="317"/>
      <c r="I76" s="317"/>
      <c r="J76" s="317">
        <f>'226 ОМС'!F26</f>
        <v>54777.24</v>
      </c>
      <c r="K76" s="317">
        <f t="shared" si="24"/>
        <v>54777.24</v>
      </c>
      <c r="L76" s="317">
        <f t="shared" si="25"/>
        <v>54777.24</v>
      </c>
      <c r="M76" s="319"/>
      <c r="N76" s="39"/>
      <c r="O76" s="39"/>
      <c r="P76" s="39"/>
      <c r="Q76" s="39"/>
      <c r="R76" s="39"/>
    </row>
    <row r="77" spans="1:18" s="6" customFormat="1" ht="36">
      <c r="A77" s="80" t="s">
        <v>212</v>
      </c>
      <c r="B77" s="23"/>
      <c r="C77" s="23"/>
      <c r="D77" s="318">
        <f t="shared" si="21"/>
        <v>451320</v>
      </c>
      <c r="E77" s="318">
        <f t="shared" si="22"/>
        <v>451320</v>
      </c>
      <c r="F77" s="318">
        <f t="shared" si="23"/>
        <v>451320</v>
      </c>
      <c r="G77" s="317"/>
      <c r="H77" s="317"/>
      <c r="I77" s="317"/>
      <c r="J77" s="318">
        <f>'226 ОМС'!F27</f>
        <v>451320</v>
      </c>
      <c r="K77" s="318">
        <f t="shared" si="24"/>
        <v>451320</v>
      </c>
      <c r="L77" s="318">
        <f aca="true" t="shared" si="26" ref="L77:L85">J77</f>
        <v>451320</v>
      </c>
      <c r="M77" s="319"/>
      <c r="N77" s="39"/>
      <c r="O77" s="39"/>
      <c r="P77" s="39"/>
      <c r="Q77" s="39"/>
      <c r="R77" s="39"/>
    </row>
    <row r="78" spans="1:18" s="6" customFormat="1" ht="18">
      <c r="A78" s="80" t="s">
        <v>40</v>
      </c>
      <c r="B78" s="23"/>
      <c r="C78" s="23"/>
      <c r="D78" s="318">
        <f t="shared" si="21"/>
        <v>0</v>
      </c>
      <c r="E78" s="318">
        <f t="shared" si="22"/>
        <v>0</v>
      </c>
      <c r="F78" s="318">
        <f t="shared" si="23"/>
        <v>0</v>
      </c>
      <c r="G78" s="317"/>
      <c r="H78" s="317"/>
      <c r="I78" s="317"/>
      <c r="J78" s="317"/>
      <c r="K78" s="317">
        <f t="shared" si="24"/>
        <v>0</v>
      </c>
      <c r="L78" s="317">
        <f t="shared" si="26"/>
        <v>0</v>
      </c>
      <c r="M78" s="319"/>
      <c r="N78" s="39"/>
      <c r="O78" s="39"/>
      <c r="P78" s="39"/>
      <c r="Q78" s="39"/>
      <c r="R78" s="39"/>
    </row>
    <row r="79" spans="1:18" s="6" customFormat="1" ht="54">
      <c r="A79" s="80" t="s">
        <v>533</v>
      </c>
      <c r="B79" s="23"/>
      <c r="C79" s="23"/>
      <c r="D79" s="318">
        <f t="shared" si="21"/>
        <v>36990</v>
      </c>
      <c r="E79" s="318">
        <f t="shared" si="22"/>
        <v>36990</v>
      </c>
      <c r="F79" s="318">
        <f t="shared" si="23"/>
        <v>36990</v>
      </c>
      <c r="G79" s="317"/>
      <c r="H79" s="317"/>
      <c r="I79" s="317"/>
      <c r="J79" s="317">
        <f>'226 ОМС'!F32</f>
        <v>36990</v>
      </c>
      <c r="K79" s="317">
        <f t="shared" si="24"/>
        <v>36990</v>
      </c>
      <c r="L79" s="317">
        <f t="shared" si="26"/>
        <v>36990</v>
      </c>
      <c r="M79" s="319"/>
      <c r="N79" s="39"/>
      <c r="O79" s="39"/>
      <c r="P79" s="39"/>
      <c r="Q79" s="39"/>
      <c r="R79" s="39"/>
    </row>
    <row r="80" spans="1:18" s="6" customFormat="1" ht="54">
      <c r="A80" s="80" t="s">
        <v>703</v>
      </c>
      <c r="B80" s="23"/>
      <c r="C80" s="23"/>
      <c r="D80" s="318">
        <f t="shared" si="21"/>
        <v>208000</v>
      </c>
      <c r="E80" s="318">
        <f t="shared" si="22"/>
        <v>208000</v>
      </c>
      <c r="F80" s="318">
        <f t="shared" si="23"/>
        <v>208000</v>
      </c>
      <c r="G80" s="317"/>
      <c r="H80" s="317"/>
      <c r="I80" s="317"/>
      <c r="J80" s="317">
        <f>'226 ОМС'!F33</f>
        <v>208000</v>
      </c>
      <c r="K80" s="317">
        <f t="shared" si="24"/>
        <v>208000</v>
      </c>
      <c r="L80" s="317">
        <f t="shared" si="26"/>
        <v>208000</v>
      </c>
      <c r="M80" s="319"/>
      <c r="N80" s="39"/>
      <c r="O80" s="39"/>
      <c r="P80" s="39"/>
      <c r="Q80" s="39"/>
      <c r="R80" s="39"/>
    </row>
    <row r="81" spans="1:18" s="6" customFormat="1" ht="36" hidden="1">
      <c r="A81" s="80" t="s">
        <v>534</v>
      </c>
      <c r="B81" s="23"/>
      <c r="C81" s="23"/>
      <c r="D81" s="318">
        <f t="shared" si="21"/>
        <v>0</v>
      </c>
      <c r="E81" s="318">
        <f t="shared" si="22"/>
        <v>0</v>
      </c>
      <c r="F81" s="318">
        <f t="shared" si="23"/>
        <v>0</v>
      </c>
      <c r="G81" s="317"/>
      <c r="H81" s="317"/>
      <c r="I81" s="317"/>
      <c r="J81" s="317">
        <f>'226 ОМС'!F34</f>
        <v>0</v>
      </c>
      <c r="K81" s="317">
        <f>J81</f>
        <v>0</v>
      </c>
      <c r="L81" s="317">
        <f t="shared" si="26"/>
        <v>0</v>
      </c>
      <c r="M81" s="319"/>
      <c r="N81" s="39"/>
      <c r="O81" s="39"/>
      <c r="P81" s="39"/>
      <c r="Q81" s="39"/>
      <c r="R81" s="39"/>
    </row>
    <row r="82" spans="1:18" s="6" customFormat="1" ht="54">
      <c r="A82" s="80" t="s">
        <v>641</v>
      </c>
      <c r="B82" s="23"/>
      <c r="C82" s="23"/>
      <c r="D82" s="318">
        <f>G82+J82</f>
        <v>121380</v>
      </c>
      <c r="E82" s="318">
        <f t="shared" si="4"/>
        <v>121380</v>
      </c>
      <c r="F82" s="318">
        <f t="shared" si="5"/>
        <v>121380</v>
      </c>
      <c r="G82" s="317">
        <f>'226 Б'!F43</f>
        <v>0</v>
      </c>
      <c r="H82" s="317">
        <f aca="true" t="shared" si="27" ref="H82:H87">G82</f>
        <v>0</v>
      </c>
      <c r="I82" s="317">
        <f aca="true" t="shared" si="28" ref="I82:I87">G82</f>
        <v>0</v>
      </c>
      <c r="J82" s="317">
        <f>'226 ОМС'!F35</f>
        <v>121380</v>
      </c>
      <c r="K82" s="317">
        <f>J82</f>
        <v>121380</v>
      </c>
      <c r="L82" s="317">
        <f t="shared" si="26"/>
        <v>121380</v>
      </c>
      <c r="M82" s="319"/>
      <c r="N82" s="39"/>
      <c r="O82" s="39"/>
      <c r="P82" s="39"/>
      <c r="Q82" s="39"/>
      <c r="R82" s="39"/>
    </row>
    <row r="83" spans="1:18" s="6" customFormat="1" ht="36">
      <c r="A83" s="80" t="s">
        <v>643</v>
      </c>
      <c r="B83" s="23"/>
      <c r="C83" s="23"/>
      <c r="D83" s="318">
        <f>G83+J83</f>
        <v>50000</v>
      </c>
      <c r="E83" s="318">
        <f t="shared" si="4"/>
        <v>50000</v>
      </c>
      <c r="F83" s="318">
        <f t="shared" si="5"/>
        <v>50000</v>
      </c>
      <c r="G83" s="317">
        <f>'226 Б'!F44</f>
        <v>0</v>
      </c>
      <c r="H83" s="317">
        <f t="shared" si="27"/>
        <v>0</v>
      </c>
      <c r="I83" s="317">
        <f t="shared" si="28"/>
        <v>0</v>
      </c>
      <c r="J83" s="317">
        <f>'226 ОМС'!F36</f>
        <v>50000</v>
      </c>
      <c r="K83" s="317">
        <f>J83</f>
        <v>50000</v>
      </c>
      <c r="L83" s="317">
        <f t="shared" si="26"/>
        <v>50000</v>
      </c>
      <c r="M83" s="319"/>
      <c r="N83" s="39"/>
      <c r="O83" s="39"/>
      <c r="P83" s="39"/>
      <c r="Q83" s="39"/>
      <c r="R83" s="39"/>
    </row>
    <row r="84" spans="1:18" s="6" customFormat="1" ht="36">
      <c r="A84" s="80" t="s">
        <v>644</v>
      </c>
      <c r="B84" s="23"/>
      <c r="C84" s="23"/>
      <c r="D84" s="318">
        <f>G84+J84</f>
        <v>31200</v>
      </c>
      <c r="E84" s="318">
        <f t="shared" si="4"/>
        <v>31200</v>
      </c>
      <c r="F84" s="318">
        <f t="shared" si="5"/>
        <v>31200</v>
      </c>
      <c r="G84" s="317">
        <v>0</v>
      </c>
      <c r="H84" s="317">
        <f t="shared" si="27"/>
        <v>0</v>
      </c>
      <c r="I84" s="317">
        <f t="shared" si="28"/>
        <v>0</v>
      </c>
      <c r="J84" s="317">
        <f>'226 ОМС'!F37</f>
        <v>31200</v>
      </c>
      <c r="K84" s="317">
        <f>J84</f>
        <v>31200</v>
      </c>
      <c r="L84" s="317">
        <f t="shared" si="26"/>
        <v>31200</v>
      </c>
      <c r="M84" s="319"/>
      <c r="N84" s="39"/>
      <c r="O84" s="39"/>
      <c r="P84" s="39"/>
      <c r="Q84" s="39"/>
      <c r="R84" s="39"/>
    </row>
    <row r="85" spans="1:18" s="6" customFormat="1" ht="36">
      <c r="A85" s="80" t="s">
        <v>640</v>
      </c>
      <c r="B85" s="23"/>
      <c r="C85" s="23"/>
      <c r="D85" s="318">
        <f>G85+J85</f>
        <v>3750</v>
      </c>
      <c r="E85" s="318">
        <f t="shared" si="4"/>
        <v>3750</v>
      </c>
      <c r="F85" s="318">
        <f t="shared" si="5"/>
        <v>3750</v>
      </c>
      <c r="G85" s="317"/>
      <c r="H85" s="317">
        <f t="shared" si="27"/>
        <v>0</v>
      </c>
      <c r="I85" s="317">
        <f t="shared" si="28"/>
        <v>0</v>
      </c>
      <c r="J85" s="317">
        <f>'226 ОМС'!F38</f>
        <v>3750</v>
      </c>
      <c r="K85" s="317">
        <f>J85</f>
        <v>3750</v>
      </c>
      <c r="L85" s="317">
        <f t="shared" si="26"/>
        <v>3750</v>
      </c>
      <c r="M85" s="319"/>
      <c r="N85" s="39"/>
      <c r="O85" s="39"/>
      <c r="P85" s="39"/>
      <c r="Q85" s="39"/>
      <c r="R85" s="39"/>
    </row>
    <row r="86" spans="1:18" s="6" customFormat="1" ht="18">
      <c r="A86" s="80" t="str">
        <f>'226 Б'!B34</f>
        <v>Прочее</v>
      </c>
      <c r="B86" s="23"/>
      <c r="C86" s="23"/>
      <c r="D86" s="318">
        <f>SUM(D87:D103)+0.01</f>
        <v>1834843.67</v>
      </c>
      <c r="E86" s="318">
        <f>SUM(E87:E103)+0.01</f>
        <v>1819043.67</v>
      </c>
      <c r="F86" s="318">
        <f>SUM(F87:F103)+0.01</f>
        <v>2043243.67</v>
      </c>
      <c r="G86" s="317">
        <f>G90</f>
        <v>0</v>
      </c>
      <c r="H86" s="317">
        <f t="shared" si="27"/>
        <v>0</v>
      </c>
      <c r="I86" s="317">
        <f t="shared" si="28"/>
        <v>0</v>
      </c>
      <c r="J86" s="318">
        <f>SUM(J87:J103)+0.01</f>
        <v>1834843.67</v>
      </c>
      <c r="K86" s="318">
        <f>SUM(K87:K103)+0.01</f>
        <v>1819043.67</v>
      </c>
      <c r="L86" s="318">
        <f>SUM(L87:L103)+0.01</f>
        <v>2043243.67</v>
      </c>
      <c r="M86" s="319"/>
      <c r="N86" s="39"/>
      <c r="O86" s="39"/>
      <c r="P86" s="39"/>
      <c r="Q86" s="39"/>
      <c r="R86" s="39"/>
    </row>
    <row r="87" spans="1:18" s="6" customFormat="1" ht="24.75" customHeight="1">
      <c r="A87" s="80" t="s">
        <v>632</v>
      </c>
      <c r="B87" s="23"/>
      <c r="C87" s="23"/>
      <c r="D87" s="318">
        <f>G87+J87</f>
        <v>1235800</v>
      </c>
      <c r="E87" s="318">
        <f t="shared" si="4"/>
        <v>1235800</v>
      </c>
      <c r="F87" s="318">
        <f t="shared" si="5"/>
        <v>1235800</v>
      </c>
      <c r="G87" s="317"/>
      <c r="H87" s="317">
        <f t="shared" si="27"/>
        <v>0</v>
      </c>
      <c r="I87" s="317">
        <f t="shared" si="28"/>
        <v>0</v>
      </c>
      <c r="J87" s="317">
        <f>'226 ВнеБ'!F31+'226 Б'!F36</f>
        <v>1235800</v>
      </c>
      <c r="K87" s="317">
        <f>J87</f>
        <v>1235800</v>
      </c>
      <c r="L87" s="317">
        <f>J87</f>
        <v>1235800</v>
      </c>
      <c r="M87" s="319"/>
      <c r="N87" s="39"/>
      <c r="O87" s="39"/>
      <c r="P87" s="39"/>
      <c r="Q87" s="39"/>
      <c r="R87" s="39"/>
    </row>
    <row r="88" spans="1:18" s="6" customFormat="1" ht="24.75" customHeight="1">
      <c r="A88" s="444" t="s">
        <v>649</v>
      </c>
      <c r="B88" s="23"/>
      <c r="C88" s="23"/>
      <c r="D88" s="318">
        <f aca="true" t="shared" si="29" ref="D88:D99">G88+J88</f>
        <v>12000</v>
      </c>
      <c r="E88" s="318">
        <f aca="true" t="shared" si="30" ref="E88:E99">H88+K88</f>
        <v>12000</v>
      </c>
      <c r="F88" s="318">
        <f aca="true" t="shared" si="31" ref="F88:F99">I88+L88</f>
        <v>12000</v>
      </c>
      <c r="G88" s="317"/>
      <c r="H88" s="317"/>
      <c r="I88" s="317"/>
      <c r="J88" s="317">
        <f>'226 ВнеБ'!F33</f>
        <v>12000</v>
      </c>
      <c r="K88" s="317">
        <f aca="true" t="shared" si="32" ref="K88:K99">J88</f>
        <v>12000</v>
      </c>
      <c r="L88" s="317">
        <f aca="true" t="shared" si="33" ref="L88:L99">J88</f>
        <v>12000</v>
      </c>
      <c r="M88" s="319"/>
      <c r="N88" s="39"/>
      <c r="O88" s="39"/>
      <c r="P88" s="39"/>
      <c r="Q88" s="39"/>
      <c r="R88" s="39"/>
    </row>
    <row r="89" spans="1:18" s="6" customFormat="1" ht="24.75" customHeight="1">
      <c r="A89" s="444" t="s">
        <v>650</v>
      </c>
      <c r="B89" s="23"/>
      <c r="C89" s="23"/>
      <c r="D89" s="318">
        <f t="shared" si="29"/>
        <v>135000</v>
      </c>
      <c r="E89" s="318">
        <f t="shared" si="30"/>
        <v>135000</v>
      </c>
      <c r="F89" s="318">
        <f t="shared" si="31"/>
        <v>135000</v>
      </c>
      <c r="G89" s="317"/>
      <c r="H89" s="317"/>
      <c r="I89" s="317"/>
      <c r="J89" s="317">
        <f>'226 ВнеБ'!F34+'226 ОМС'!F42</f>
        <v>135000</v>
      </c>
      <c r="K89" s="317">
        <f t="shared" si="32"/>
        <v>135000</v>
      </c>
      <c r="L89" s="317">
        <f t="shared" si="33"/>
        <v>135000</v>
      </c>
      <c r="M89" s="319"/>
      <c r="N89" s="39"/>
      <c r="O89" s="39"/>
      <c r="P89" s="39"/>
      <c r="Q89" s="39"/>
      <c r="R89" s="39"/>
    </row>
    <row r="90" spans="1:18" s="6" customFormat="1" ht="24.75" customHeight="1">
      <c r="A90" s="444" t="s">
        <v>658</v>
      </c>
      <c r="B90" s="23"/>
      <c r="C90" s="23"/>
      <c r="D90" s="318">
        <f t="shared" si="29"/>
        <v>107643.66</v>
      </c>
      <c r="E90" s="318">
        <f t="shared" si="30"/>
        <v>107643.66</v>
      </c>
      <c r="F90" s="318">
        <f t="shared" si="31"/>
        <v>107643.66</v>
      </c>
      <c r="G90" s="317"/>
      <c r="H90" s="317">
        <f>G90</f>
        <v>0</v>
      </c>
      <c r="I90" s="317">
        <f>G90</f>
        <v>0</v>
      </c>
      <c r="J90" s="317">
        <f>'226 ВнеБ'!F35+'226 ОМС'!F44+'226 Б'!F37</f>
        <v>107643.66</v>
      </c>
      <c r="K90" s="317">
        <f t="shared" si="32"/>
        <v>107643.66</v>
      </c>
      <c r="L90" s="317">
        <f t="shared" si="33"/>
        <v>107643.66</v>
      </c>
      <c r="M90" s="319"/>
      <c r="N90" s="39"/>
      <c r="O90" s="39"/>
      <c r="P90" s="39"/>
      <c r="Q90" s="39"/>
      <c r="R90" s="39"/>
    </row>
    <row r="91" spans="1:18" s="6" customFormat="1" ht="35.25" customHeight="1">
      <c r="A91" s="444" t="s">
        <v>651</v>
      </c>
      <c r="B91" s="23"/>
      <c r="C91" s="23"/>
      <c r="D91" s="318">
        <f t="shared" si="29"/>
        <v>23800</v>
      </c>
      <c r="E91" s="318">
        <f t="shared" si="30"/>
        <v>23800</v>
      </c>
      <c r="F91" s="318">
        <f t="shared" si="31"/>
        <v>23800</v>
      </c>
      <c r="G91" s="317"/>
      <c r="H91" s="317"/>
      <c r="I91" s="317"/>
      <c r="J91" s="317">
        <f>'226 ВнеБ'!F36++'226 ОМС'!F48</f>
        <v>23800</v>
      </c>
      <c r="K91" s="317">
        <f t="shared" si="32"/>
        <v>23800</v>
      </c>
      <c r="L91" s="317">
        <f t="shared" si="33"/>
        <v>23800</v>
      </c>
      <c r="M91" s="319"/>
      <c r="N91" s="39"/>
      <c r="O91" s="39"/>
      <c r="P91" s="39"/>
      <c r="Q91" s="39"/>
      <c r="R91" s="39"/>
    </row>
    <row r="92" spans="1:18" s="6" customFormat="1" ht="24.75" customHeight="1">
      <c r="A92" s="444" t="s">
        <v>670</v>
      </c>
      <c r="B92" s="23"/>
      <c r="C92" s="23"/>
      <c r="D92" s="318">
        <f t="shared" si="29"/>
        <v>92400</v>
      </c>
      <c r="E92" s="318">
        <f t="shared" si="30"/>
        <v>76600</v>
      </c>
      <c r="F92" s="318">
        <f t="shared" si="31"/>
        <v>300800</v>
      </c>
      <c r="G92" s="317"/>
      <c r="H92" s="317"/>
      <c r="I92" s="317"/>
      <c r="J92" s="317">
        <f>'226 ВнеБ'!F37+52400</f>
        <v>92400</v>
      </c>
      <c r="K92" s="317">
        <f>J92+36600-52400</f>
        <v>76600</v>
      </c>
      <c r="L92" s="317">
        <f>J92+260800-52400</f>
        <v>300800</v>
      </c>
      <c r="M92" s="319"/>
      <c r="N92" s="39"/>
      <c r="O92" s="39"/>
      <c r="P92" s="39"/>
      <c r="Q92" s="39"/>
      <c r="R92" s="39"/>
    </row>
    <row r="93" spans="1:18" s="6" customFormat="1" ht="33" customHeight="1">
      <c r="A93" s="444" t="s">
        <v>669</v>
      </c>
      <c r="B93" s="23"/>
      <c r="C93" s="23"/>
      <c r="D93" s="318">
        <f t="shared" si="29"/>
        <v>12000</v>
      </c>
      <c r="E93" s="318">
        <f t="shared" si="30"/>
        <v>12000</v>
      </c>
      <c r="F93" s="318">
        <f t="shared" si="31"/>
        <v>12000</v>
      </c>
      <c r="G93" s="317"/>
      <c r="H93" s="317"/>
      <c r="I93" s="317"/>
      <c r="J93" s="317">
        <f>'226 ВнеБ'!F38</f>
        <v>12000</v>
      </c>
      <c r="K93" s="317">
        <f t="shared" si="32"/>
        <v>12000</v>
      </c>
      <c r="L93" s="317">
        <f t="shared" si="33"/>
        <v>12000</v>
      </c>
      <c r="M93" s="319"/>
      <c r="N93" s="39"/>
      <c r="O93" s="39"/>
      <c r="P93" s="39"/>
      <c r="Q93" s="39"/>
      <c r="R93" s="39"/>
    </row>
    <row r="94" spans="1:18" s="6" customFormat="1" ht="24.75" customHeight="1">
      <c r="A94" s="444" t="s">
        <v>652</v>
      </c>
      <c r="B94" s="23"/>
      <c r="C94" s="23"/>
      <c r="D94" s="318">
        <f t="shared" si="29"/>
        <v>6000</v>
      </c>
      <c r="E94" s="318">
        <f t="shared" si="30"/>
        <v>6000</v>
      </c>
      <c r="F94" s="318">
        <f t="shared" si="31"/>
        <v>6000</v>
      </c>
      <c r="G94" s="317"/>
      <c r="H94" s="317"/>
      <c r="I94" s="317"/>
      <c r="J94" s="317">
        <f>'226 ВнеБ'!F39</f>
        <v>6000</v>
      </c>
      <c r="K94" s="317">
        <f t="shared" si="32"/>
        <v>6000</v>
      </c>
      <c r="L94" s="317">
        <f t="shared" si="33"/>
        <v>6000</v>
      </c>
      <c r="M94" s="319"/>
      <c r="N94" s="39"/>
      <c r="O94" s="39"/>
      <c r="P94" s="39"/>
      <c r="Q94" s="39"/>
      <c r="R94" s="39"/>
    </row>
    <row r="95" spans="1:18" s="6" customFormat="1" ht="24.75" customHeight="1">
      <c r="A95" s="444" t="s">
        <v>653</v>
      </c>
      <c r="B95" s="23"/>
      <c r="C95" s="23"/>
      <c r="D95" s="318">
        <f t="shared" si="29"/>
        <v>16800</v>
      </c>
      <c r="E95" s="318">
        <f t="shared" si="30"/>
        <v>16800</v>
      </c>
      <c r="F95" s="318">
        <f t="shared" si="31"/>
        <v>16800</v>
      </c>
      <c r="G95" s="317"/>
      <c r="H95" s="317"/>
      <c r="I95" s="317"/>
      <c r="J95" s="317">
        <f>'226 ВнеБ'!F40</f>
        <v>16800</v>
      </c>
      <c r="K95" s="317">
        <f t="shared" si="32"/>
        <v>16800</v>
      </c>
      <c r="L95" s="317">
        <f t="shared" si="33"/>
        <v>16800</v>
      </c>
      <c r="M95" s="319"/>
      <c r="N95" s="39"/>
      <c r="O95" s="39"/>
      <c r="P95" s="39"/>
      <c r="Q95" s="39"/>
      <c r="R95" s="39"/>
    </row>
    <row r="96" spans="1:18" s="6" customFormat="1" ht="24.75" customHeight="1">
      <c r="A96" s="444" t="s">
        <v>654</v>
      </c>
      <c r="B96" s="23"/>
      <c r="C96" s="23"/>
      <c r="D96" s="318">
        <f t="shared" si="29"/>
        <v>6000</v>
      </c>
      <c r="E96" s="318">
        <f t="shared" si="30"/>
        <v>6000</v>
      </c>
      <c r="F96" s="318">
        <f t="shared" si="31"/>
        <v>6000</v>
      </c>
      <c r="G96" s="317"/>
      <c r="H96" s="317"/>
      <c r="I96" s="317"/>
      <c r="J96" s="317">
        <f>'226 ВнеБ'!F41</f>
        <v>6000</v>
      </c>
      <c r="K96" s="317">
        <f t="shared" si="32"/>
        <v>6000</v>
      </c>
      <c r="L96" s="317">
        <f t="shared" si="33"/>
        <v>6000</v>
      </c>
      <c r="M96" s="319"/>
      <c r="N96" s="39"/>
      <c r="O96" s="39"/>
      <c r="P96" s="39"/>
      <c r="Q96" s="39"/>
      <c r="R96" s="39"/>
    </row>
    <row r="97" spans="1:18" s="6" customFormat="1" ht="40.5" customHeight="1">
      <c r="A97" s="444" t="s">
        <v>657</v>
      </c>
      <c r="B97" s="23"/>
      <c r="C97" s="23"/>
      <c r="D97" s="318">
        <f t="shared" si="29"/>
        <v>11000</v>
      </c>
      <c r="E97" s="318">
        <f t="shared" si="30"/>
        <v>11000</v>
      </c>
      <c r="F97" s="318">
        <f t="shared" si="31"/>
        <v>11000</v>
      </c>
      <c r="G97" s="317"/>
      <c r="H97" s="317"/>
      <c r="I97" s="317"/>
      <c r="J97" s="317">
        <f>'226 ВнеБ'!F42</f>
        <v>11000</v>
      </c>
      <c r="K97" s="317">
        <f t="shared" si="32"/>
        <v>11000</v>
      </c>
      <c r="L97" s="317">
        <f t="shared" si="33"/>
        <v>11000</v>
      </c>
      <c r="M97" s="319"/>
      <c r="N97" s="39"/>
      <c r="O97" s="39"/>
      <c r="P97" s="39"/>
      <c r="Q97" s="39"/>
      <c r="R97" s="39"/>
    </row>
    <row r="98" spans="1:18" s="6" customFormat="1" ht="25.5" customHeight="1">
      <c r="A98" s="444" t="s">
        <v>655</v>
      </c>
      <c r="B98" s="23"/>
      <c r="C98" s="23"/>
      <c r="D98" s="318">
        <f t="shared" si="29"/>
        <v>12000</v>
      </c>
      <c r="E98" s="318">
        <f t="shared" si="30"/>
        <v>12000</v>
      </c>
      <c r="F98" s="318">
        <f t="shared" si="31"/>
        <v>12000</v>
      </c>
      <c r="G98" s="317"/>
      <c r="H98" s="317"/>
      <c r="I98" s="317"/>
      <c r="J98" s="317">
        <f>'226 ВнеБ'!F43</f>
        <v>12000</v>
      </c>
      <c r="K98" s="317">
        <f t="shared" si="32"/>
        <v>12000</v>
      </c>
      <c r="L98" s="317">
        <f t="shared" si="33"/>
        <v>12000</v>
      </c>
      <c r="M98" s="319"/>
      <c r="N98" s="39"/>
      <c r="O98" s="39"/>
      <c r="P98" s="39"/>
      <c r="Q98" s="39"/>
      <c r="R98" s="39"/>
    </row>
    <row r="99" spans="1:18" s="6" customFormat="1" ht="31.5" customHeight="1">
      <c r="A99" s="444" t="s">
        <v>456</v>
      </c>
      <c r="B99" s="23"/>
      <c r="C99" s="23"/>
      <c r="D99" s="318">
        <f t="shared" si="29"/>
        <v>4400</v>
      </c>
      <c r="E99" s="318">
        <f t="shared" si="30"/>
        <v>4400</v>
      </c>
      <c r="F99" s="318">
        <f t="shared" si="31"/>
        <v>4400</v>
      </c>
      <c r="G99" s="317"/>
      <c r="H99" s="317"/>
      <c r="I99" s="317"/>
      <c r="J99" s="317">
        <f>'226 ОМС'!F43</f>
        <v>4400</v>
      </c>
      <c r="K99" s="317">
        <f t="shared" si="32"/>
        <v>4400</v>
      </c>
      <c r="L99" s="317">
        <f t="shared" si="33"/>
        <v>4400</v>
      </c>
      <c r="M99" s="319"/>
      <c r="N99" s="39"/>
      <c r="O99" s="39"/>
      <c r="P99" s="39"/>
      <c r="Q99" s="39"/>
      <c r="R99" s="39"/>
    </row>
    <row r="100" spans="1:18" s="6" customFormat="1" ht="18">
      <c r="A100" s="444" t="s">
        <v>702</v>
      </c>
      <c r="B100" s="23"/>
      <c r="C100" s="23"/>
      <c r="D100" s="318">
        <f aca="true" t="shared" si="34" ref="D100:D107">G100+J100</f>
        <v>4000</v>
      </c>
      <c r="E100" s="318">
        <f t="shared" si="4"/>
        <v>4000</v>
      </c>
      <c r="F100" s="318">
        <f t="shared" si="5"/>
        <v>4000</v>
      </c>
      <c r="G100" s="317"/>
      <c r="H100" s="317"/>
      <c r="I100" s="317"/>
      <c r="J100" s="317">
        <f>'226 ВнеБ'!F44</f>
        <v>4000</v>
      </c>
      <c r="K100" s="317">
        <f aca="true" t="shared" si="35" ref="K100:K105">J100</f>
        <v>4000</v>
      </c>
      <c r="L100" s="317">
        <f aca="true" t="shared" si="36" ref="L100:L107">J100</f>
        <v>4000</v>
      </c>
      <c r="M100" s="319"/>
      <c r="N100" s="39"/>
      <c r="O100" s="39"/>
      <c r="P100" s="39"/>
      <c r="Q100" s="39"/>
      <c r="R100" s="39"/>
    </row>
    <row r="101" spans="1:18" s="6" customFormat="1" ht="36">
      <c r="A101" s="444" t="s">
        <v>668</v>
      </c>
      <c r="B101" s="23"/>
      <c r="C101" s="23"/>
      <c r="D101" s="318">
        <f t="shared" si="34"/>
        <v>36000</v>
      </c>
      <c r="E101" s="318">
        <f aca="true" t="shared" si="37" ref="E101:F104">H101+K101</f>
        <v>36000</v>
      </c>
      <c r="F101" s="318">
        <f t="shared" si="37"/>
        <v>36000</v>
      </c>
      <c r="G101" s="317"/>
      <c r="H101" s="317"/>
      <c r="I101" s="317"/>
      <c r="J101" s="317">
        <f>'226 ВнеБ'!F45+'226 ОМС'!F45</f>
        <v>36000</v>
      </c>
      <c r="K101" s="317">
        <f t="shared" si="35"/>
        <v>36000</v>
      </c>
      <c r="L101" s="317">
        <f t="shared" si="36"/>
        <v>36000</v>
      </c>
      <c r="M101" s="319"/>
      <c r="N101" s="39"/>
      <c r="O101" s="39"/>
      <c r="P101" s="39"/>
      <c r="Q101" s="39"/>
      <c r="R101" s="39"/>
    </row>
    <row r="102" spans="1:18" s="6" customFormat="1" ht="18">
      <c r="A102" s="80" t="s">
        <v>642</v>
      </c>
      <c r="B102" s="23"/>
      <c r="C102" s="23"/>
      <c r="D102" s="318">
        <f t="shared" si="34"/>
        <v>10000</v>
      </c>
      <c r="E102" s="318">
        <f t="shared" si="37"/>
        <v>10000</v>
      </c>
      <c r="F102" s="318">
        <f t="shared" si="37"/>
        <v>10000</v>
      </c>
      <c r="G102" s="317"/>
      <c r="H102" s="317"/>
      <c r="I102" s="317"/>
      <c r="J102" s="317">
        <f>'226 ОМС'!F46</f>
        <v>10000</v>
      </c>
      <c r="K102" s="317">
        <f t="shared" si="35"/>
        <v>10000</v>
      </c>
      <c r="L102" s="317">
        <f t="shared" si="36"/>
        <v>10000</v>
      </c>
      <c r="M102" s="319"/>
      <c r="N102" s="39"/>
      <c r="O102" s="39"/>
      <c r="P102" s="39"/>
      <c r="Q102" s="39"/>
      <c r="R102" s="39"/>
    </row>
    <row r="103" spans="1:18" s="6" customFormat="1" ht="18">
      <c r="A103" s="80" t="s">
        <v>535</v>
      </c>
      <c r="B103" s="23"/>
      <c r="C103" s="23"/>
      <c r="D103" s="318">
        <f t="shared" si="34"/>
        <v>110000</v>
      </c>
      <c r="E103" s="318">
        <f t="shared" si="37"/>
        <v>110000</v>
      </c>
      <c r="F103" s="318">
        <f t="shared" si="37"/>
        <v>110000</v>
      </c>
      <c r="G103" s="317"/>
      <c r="H103" s="317"/>
      <c r="I103" s="317"/>
      <c r="J103" s="317">
        <f>'226 ОМС'!F47</f>
        <v>110000</v>
      </c>
      <c r="K103" s="317">
        <f t="shared" si="35"/>
        <v>110000</v>
      </c>
      <c r="L103" s="317">
        <f t="shared" si="36"/>
        <v>110000</v>
      </c>
      <c r="M103" s="319"/>
      <c r="N103" s="39"/>
      <c r="O103" s="39"/>
      <c r="P103" s="39"/>
      <c r="Q103" s="39"/>
      <c r="R103" s="39"/>
    </row>
    <row r="104" spans="1:18" s="6" customFormat="1" ht="36">
      <c r="A104" s="2" t="s">
        <v>336</v>
      </c>
      <c r="B104" s="23"/>
      <c r="C104" s="23"/>
      <c r="D104" s="318">
        <f t="shared" si="34"/>
        <v>609000</v>
      </c>
      <c r="E104" s="318">
        <f t="shared" si="37"/>
        <v>609000</v>
      </c>
      <c r="F104" s="318">
        <f t="shared" si="37"/>
        <v>609000</v>
      </c>
      <c r="G104" s="317"/>
      <c r="H104" s="317"/>
      <c r="I104" s="317"/>
      <c r="J104" s="318">
        <f>'310 ВнеБ'!E24+'310 ОМС'!E32+'310Б'!E19</f>
        <v>609000</v>
      </c>
      <c r="K104" s="317">
        <f t="shared" si="35"/>
        <v>609000</v>
      </c>
      <c r="L104" s="317">
        <f t="shared" si="36"/>
        <v>609000</v>
      </c>
      <c r="M104" s="319"/>
      <c r="N104" s="39"/>
      <c r="O104" s="39"/>
      <c r="P104" s="39"/>
      <c r="Q104" s="39"/>
      <c r="R104" s="39"/>
    </row>
    <row r="105" spans="1:18" s="6" customFormat="1" ht="90">
      <c r="A105" s="2" t="s">
        <v>689</v>
      </c>
      <c r="B105" s="289"/>
      <c r="C105" s="23"/>
      <c r="D105" s="318">
        <f t="shared" si="34"/>
        <v>2229523</v>
      </c>
      <c r="E105" s="318">
        <f t="shared" si="4"/>
        <v>2229523</v>
      </c>
      <c r="F105" s="318">
        <f t="shared" si="5"/>
        <v>2229523</v>
      </c>
      <c r="G105" s="317"/>
      <c r="H105" s="317"/>
      <c r="I105" s="317"/>
      <c r="J105" s="318">
        <f>'340 ВнеБ'!D13+'340 ВнеБ'!D14+'340 Б'!D13+'340 ОМС'!D13+'340 ОМС'!D14</f>
        <v>2229523</v>
      </c>
      <c r="K105" s="317">
        <f t="shared" si="35"/>
        <v>2229523</v>
      </c>
      <c r="L105" s="317">
        <f t="shared" si="36"/>
        <v>2229523</v>
      </c>
      <c r="M105" s="319"/>
      <c r="N105" s="39"/>
      <c r="O105" s="39"/>
      <c r="P105" s="39"/>
      <c r="Q105" s="39"/>
      <c r="R105" s="39"/>
    </row>
    <row r="106" spans="1:18" s="6" customFormat="1" ht="36">
      <c r="A106" s="2" t="s">
        <v>462</v>
      </c>
      <c r="B106" s="23"/>
      <c r="C106" s="23"/>
      <c r="D106" s="318">
        <f t="shared" si="34"/>
        <v>1500460</v>
      </c>
      <c r="E106" s="318">
        <f t="shared" si="4"/>
        <v>1500460</v>
      </c>
      <c r="F106" s="318">
        <f t="shared" si="5"/>
        <v>1500460</v>
      </c>
      <c r="G106" s="317"/>
      <c r="H106" s="317"/>
      <c r="I106" s="317"/>
      <c r="J106" s="318">
        <f>'340 ВнеБ'!D15+'340 Б'!D15+'340 ОМС'!D15</f>
        <v>1500460</v>
      </c>
      <c r="K106" s="317">
        <f aca="true" t="shared" si="38" ref="K106:K113">J106</f>
        <v>1500460</v>
      </c>
      <c r="L106" s="317">
        <f t="shared" si="36"/>
        <v>1500460</v>
      </c>
      <c r="M106" s="319"/>
      <c r="N106" s="39"/>
      <c r="O106" s="39"/>
      <c r="P106" s="39"/>
      <c r="Q106" s="39"/>
      <c r="R106" s="39"/>
    </row>
    <row r="107" spans="1:18" s="6" customFormat="1" ht="18">
      <c r="A107" s="80" t="s">
        <v>272</v>
      </c>
      <c r="B107" s="23"/>
      <c r="C107" s="23"/>
      <c r="D107" s="318">
        <f t="shared" si="34"/>
        <v>83602.15</v>
      </c>
      <c r="E107" s="318">
        <f>H107+K107</f>
        <v>83602.15</v>
      </c>
      <c r="F107" s="318">
        <f>I107+L107</f>
        <v>83602.15</v>
      </c>
      <c r="G107" s="317"/>
      <c r="H107" s="317"/>
      <c r="I107" s="317"/>
      <c r="J107" s="318">
        <f>'340 ВнеБ'!D16</f>
        <v>83602.15</v>
      </c>
      <c r="K107" s="317">
        <f>J107</f>
        <v>83602.15</v>
      </c>
      <c r="L107" s="317">
        <f t="shared" si="36"/>
        <v>83602.15</v>
      </c>
      <c r="M107" s="319"/>
      <c r="N107" s="39"/>
      <c r="O107" s="39"/>
      <c r="P107" s="39"/>
      <c r="Q107" s="39"/>
      <c r="R107" s="39"/>
    </row>
    <row r="108" spans="1:18" s="6" customFormat="1" ht="38.25" customHeight="1">
      <c r="A108" s="2" t="s">
        <v>463</v>
      </c>
      <c r="B108" s="289"/>
      <c r="C108" s="23"/>
      <c r="D108" s="318">
        <f aca="true" t="shared" si="39" ref="D108:F113">G108+J108</f>
        <v>109220</v>
      </c>
      <c r="E108" s="318">
        <f t="shared" si="39"/>
        <v>109220</v>
      </c>
      <c r="F108" s="318">
        <f t="shared" si="39"/>
        <v>109220</v>
      </c>
      <c r="G108" s="317"/>
      <c r="H108" s="317"/>
      <c r="I108" s="317"/>
      <c r="J108" s="318">
        <f>'340 ВнеБ'!D19+'340 ОМС'!D19</f>
        <v>109220</v>
      </c>
      <c r="K108" s="317">
        <f t="shared" si="38"/>
        <v>109220</v>
      </c>
      <c r="L108" s="317">
        <f aca="true" t="shared" si="40" ref="L108:L113">J108</f>
        <v>109220</v>
      </c>
      <c r="M108" s="319"/>
      <c r="N108" s="39"/>
      <c r="O108" s="39"/>
      <c r="P108" s="39"/>
      <c r="Q108" s="39"/>
      <c r="R108" s="39"/>
    </row>
    <row r="109" spans="1:18" s="6" customFormat="1" ht="18">
      <c r="A109" s="2" t="s">
        <v>274</v>
      </c>
      <c r="B109" s="391"/>
      <c r="C109" s="23"/>
      <c r="D109" s="318">
        <f>G109+J109</f>
        <v>100002</v>
      </c>
      <c r="E109" s="318">
        <f t="shared" si="39"/>
        <v>100002</v>
      </c>
      <c r="F109" s="318">
        <f t="shared" si="39"/>
        <v>100002</v>
      </c>
      <c r="G109" s="317"/>
      <c r="H109" s="317"/>
      <c r="I109" s="317"/>
      <c r="J109" s="318">
        <f>'340 ВнеБ'!D18+'340 ОМС'!D18</f>
        <v>100002</v>
      </c>
      <c r="K109" s="317">
        <f t="shared" si="38"/>
        <v>100002</v>
      </c>
      <c r="L109" s="317">
        <f t="shared" si="40"/>
        <v>100002</v>
      </c>
      <c r="M109" s="319"/>
      <c r="N109" s="39"/>
      <c r="O109" s="39"/>
      <c r="P109" s="39"/>
      <c r="Q109" s="39"/>
      <c r="R109" s="39"/>
    </row>
    <row r="110" spans="1:18" s="6" customFormat="1" ht="36">
      <c r="A110" s="80" t="s">
        <v>240</v>
      </c>
      <c r="B110" s="391"/>
      <c r="C110" s="23"/>
      <c r="D110" s="318">
        <f>G110+J110</f>
        <v>5000</v>
      </c>
      <c r="E110" s="318">
        <f>H110+K110</f>
        <v>5000</v>
      </c>
      <c r="F110" s="318">
        <f>I110+L110</f>
        <v>5000</v>
      </c>
      <c r="G110" s="317"/>
      <c r="H110" s="317"/>
      <c r="I110" s="317"/>
      <c r="J110" s="318">
        <f>'340 ОМС'!D23+'340 ВнеБ'!D23</f>
        <v>5000</v>
      </c>
      <c r="K110" s="317">
        <f t="shared" si="38"/>
        <v>5000</v>
      </c>
      <c r="L110" s="317">
        <f t="shared" si="40"/>
        <v>5000</v>
      </c>
      <c r="M110" s="319"/>
      <c r="N110" s="39"/>
      <c r="O110" s="39"/>
      <c r="P110" s="39"/>
      <c r="Q110" s="39"/>
      <c r="R110" s="39"/>
    </row>
    <row r="111" spans="1:18" s="6" customFormat="1" ht="54">
      <c r="A111" s="2" t="s">
        <v>466</v>
      </c>
      <c r="B111" s="23"/>
      <c r="C111" s="23"/>
      <c r="D111" s="318">
        <f t="shared" si="39"/>
        <v>56213</v>
      </c>
      <c r="E111" s="318">
        <f t="shared" si="39"/>
        <v>56213</v>
      </c>
      <c r="F111" s="318">
        <f t="shared" si="39"/>
        <v>56213</v>
      </c>
      <c r="G111" s="317"/>
      <c r="H111" s="317"/>
      <c r="I111" s="317"/>
      <c r="J111" s="318">
        <f>'340 ВнеБ'!D25+'340 ОМС'!D25</f>
        <v>56213</v>
      </c>
      <c r="K111" s="317">
        <f t="shared" si="38"/>
        <v>56213</v>
      </c>
      <c r="L111" s="317">
        <f t="shared" si="40"/>
        <v>56213</v>
      </c>
      <c r="M111" s="319"/>
      <c r="N111" s="39"/>
      <c r="O111" s="39"/>
      <c r="P111" s="39"/>
      <c r="Q111" s="39"/>
      <c r="R111" s="39"/>
    </row>
    <row r="112" spans="1:18" s="6" customFormat="1" ht="36">
      <c r="A112" s="2" t="s">
        <v>464</v>
      </c>
      <c r="B112" s="289"/>
      <c r="C112" s="23"/>
      <c r="D112" s="318">
        <f t="shared" si="39"/>
        <v>66731</v>
      </c>
      <c r="E112" s="318">
        <f t="shared" si="39"/>
        <v>66731</v>
      </c>
      <c r="F112" s="318">
        <f t="shared" si="39"/>
        <v>66731</v>
      </c>
      <c r="G112" s="317"/>
      <c r="H112" s="317"/>
      <c r="I112" s="317"/>
      <c r="J112" s="318">
        <f>'340 ВнеБ'!D26+'340 ОМС'!D26</f>
        <v>66731</v>
      </c>
      <c r="K112" s="317">
        <f t="shared" si="38"/>
        <v>66731</v>
      </c>
      <c r="L112" s="317">
        <f t="shared" si="40"/>
        <v>66731</v>
      </c>
      <c r="M112" s="319"/>
      <c r="N112" s="39"/>
      <c r="O112" s="39"/>
      <c r="P112" s="39"/>
      <c r="Q112" s="39"/>
      <c r="R112" s="39"/>
    </row>
    <row r="113" spans="1:18" s="6" customFormat="1" ht="18">
      <c r="A113" s="2" t="s">
        <v>465</v>
      </c>
      <c r="B113" s="23"/>
      <c r="C113" s="23"/>
      <c r="D113" s="28">
        <f t="shared" si="39"/>
        <v>8514</v>
      </c>
      <c r="E113" s="28">
        <f t="shared" si="39"/>
        <v>8514</v>
      </c>
      <c r="F113" s="28">
        <f t="shared" si="39"/>
        <v>8514</v>
      </c>
      <c r="G113" s="29"/>
      <c r="H113" s="29"/>
      <c r="I113" s="29"/>
      <c r="J113" s="318">
        <f>'340 ВнеБ'!D27+'340 ОМС'!D27</f>
        <v>8514</v>
      </c>
      <c r="K113" s="317">
        <f t="shared" si="38"/>
        <v>8514</v>
      </c>
      <c r="L113" s="317">
        <f t="shared" si="40"/>
        <v>8514</v>
      </c>
      <c r="M113" s="39"/>
      <c r="N113" s="39"/>
      <c r="O113" s="39"/>
      <c r="P113" s="39"/>
      <c r="Q113" s="39"/>
      <c r="R113" s="39"/>
    </row>
    <row r="114" ht="15">
      <c r="A114" s="15"/>
    </row>
    <row r="116" spans="1:8" s="3" customFormat="1" ht="18">
      <c r="A116" s="3" t="s">
        <v>589</v>
      </c>
      <c r="D116" s="3" t="s">
        <v>131</v>
      </c>
      <c r="F116" s="281"/>
      <c r="G116" s="58" t="s">
        <v>753</v>
      </c>
      <c r="H116" s="281"/>
    </row>
    <row r="117" spans="1:6" s="3" customFormat="1" ht="18">
      <c r="A117" s="3" t="str">
        <f>таб2_3!A93</f>
        <v>Ведущий экономист</v>
      </c>
      <c r="D117" s="3" t="s">
        <v>393</v>
      </c>
      <c r="F117" s="3" t="s">
        <v>396</v>
      </c>
    </row>
    <row r="118" s="3" customFormat="1" ht="18"/>
    <row r="119" s="3" customFormat="1" ht="18"/>
    <row r="120" spans="1:8" s="3" customFormat="1" ht="18">
      <c r="A120" s="610" t="s">
        <v>397</v>
      </c>
      <c r="B120" s="610"/>
      <c r="C120" s="610"/>
      <c r="D120" s="3" t="s">
        <v>131</v>
      </c>
      <c r="F120" s="281"/>
      <c r="G120" s="439"/>
      <c r="H120" s="281"/>
    </row>
    <row r="121" spans="1:6" s="3" customFormat="1" ht="18">
      <c r="A121" s="610"/>
      <c r="B121" s="610"/>
      <c r="C121" s="610"/>
      <c r="D121" s="3" t="s">
        <v>393</v>
      </c>
      <c r="F121" s="3" t="s">
        <v>396</v>
      </c>
    </row>
    <row r="122" s="3" customFormat="1" ht="18">
      <c r="A122" s="3" t="s">
        <v>515</v>
      </c>
    </row>
    <row r="123" s="3" customFormat="1" ht="18"/>
    <row r="124" s="3" customFormat="1" ht="18">
      <c r="A124" s="3" t="s">
        <v>398</v>
      </c>
    </row>
  </sheetData>
  <sheetProtection/>
  <mergeCells count="14">
    <mergeCell ref="D5:L5"/>
    <mergeCell ref="D6:F7"/>
    <mergeCell ref="G6:L6"/>
    <mergeCell ref="A4:J4"/>
    <mergeCell ref="A120:C121"/>
    <mergeCell ref="M7:O7"/>
    <mergeCell ref="P7:R7"/>
    <mergeCell ref="M5:R6"/>
    <mergeCell ref="A3:L3"/>
    <mergeCell ref="C5:C8"/>
    <mergeCell ref="G7:I7"/>
    <mergeCell ref="J7:L7"/>
    <mergeCell ref="A5:A8"/>
    <mergeCell ref="B5:B8"/>
  </mergeCells>
  <printOptions/>
  <pageMargins left="0" right="0" top="0" bottom="0" header="0.31496062992125984" footer="0.31496062992125984"/>
  <pageSetup fitToHeight="3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5"/>
  <sheetViews>
    <sheetView view="pageBreakPreview" zoomScale="60" zoomScalePageLayoutView="0" workbookViewId="0" topLeftCell="A10">
      <selection activeCell="A32" sqref="A32:IV35"/>
    </sheetView>
  </sheetViews>
  <sheetFormatPr defaultColWidth="9.140625" defaultRowHeight="15"/>
  <cols>
    <col min="1" max="1" width="115.57421875" style="0" customWidth="1"/>
    <col min="2" max="2" width="17.7109375" style="0" customWidth="1"/>
    <col min="3" max="3" width="72.421875" style="0" customWidth="1"/>
    <col min="4" max="4" width="8.00390625" style="0" customWidth="1"/>
  </cols>
  <sheetData>
    <row r="1" spans="2:3" ht="18">
      <c r="B1" s="40"/>
      <c r="C1" s="37" t="s">
        <v>110</v>
      </c>
    </row>
    <row r="2" spans="1:3" ht="18">
      <c r="A2" s="14"/>
      <c r="B2" s="40"/>
      <c r="C2" s="40"/>
    </row>
    <row r="3" spans="1:3" ht="32.25" customHeight="1">
      <c r="A3" s="625" t="s">
        <v>666</v>
      </c>
      <c r="B3" s="625"/>
      <c r="C3" s="625"/>
    </row>
    <row r="4" spans="1:3" s="6" customFormat="1" ht="18" customHeight="1">
      <c r="A4" s="145"/>
      <c r="B4" s="145"/>
      <c r="C4" s="160" t="s">
        <v>344</v>
      </c>
    </row>
    <row r="5" spans="1:3" s="6" customFormat="1" ht="43.5" customHeight="1">
      <c r="A5" s="627" t="s">
        <v>667</v>
      </c>
      <c r="B5" s="627"/>
      <c r="C5" s="627"/>
    </row>
    <row r="6" spans="1:3" ht="15">
      <c r="A6" s="626" t="s">
        <v>111</v>
      </c>
      <c r="B6" s="626"/>
      <c r="C6" s="626"/>
    </row>
    <row r="7" spans="1:3" ht="18">
      <c r="A7" s="14"/>
      <c r="B7" s="40"/>
      <c r="C7" s="40"/>
    </row>
    <row r="8" spans="1:3" ht="92.25" customHeight="1">
      <c r="A8" s="7" t="s">
        <v>20</v>
      </c>
      <c r="B8" s="7" t="s">
        <v>56</v>
      </c>
      <c r="C8" s="7" t="s">
        <v>112</v>
      </c>
    </row>
    <row r="9" spans="1:3" ht="18">
      <c r="A9" s="7">
        <v>1</v>
      </c>
      <c r="B9" s="7">
        <v>2</v>
      </c>
      <c r="C9" s="7">
        <v>3</v>
      </c>
    </row>
    <row r="10" spans="1:3" ht="18">
      <c r="A10" s="2" t="s">
        <v>59</v>
      </c>
      <c r="B10" s="7">
        <v>10</v>
      </c>
      <c r="C10" s="290">
        <v>0</v>
      </c>
    </row>
    <row r="11" spans="1:3" ht="18">
      <c r="A11" s="2" t="s">
        <v>71</v>
      </c>
      <c r="B11" s="7">
        <v>20</v>
      </c>
      <c r="C11" s="290">
        <v>0</v>
      </c>
    </row>
    <row r="12" spans="1:3" ht="18">
      <c r="A12" s="2" t="s">
        <v>113</v>
      </c>
      <c r="B12" s="7">
        <v>30</v>
      </c>
      <c r="C12" s="290">
        <v>0</v>
      </c>
    </row>
    <row r="13" spans="1:3" ht="18" hidden="1">
      <c r="A13" s="23"/>
      <c r="B13" s="23"/>
      <c r="C13" s="290">
        <v>0</v>
      </c>
    </row>
    <row r="14" spans="1:3" ht="18">
      <c r="A14" s="2" t="s">
        <v>114</v>
      </c>
      <c r="B14" s="7">
        <v>40</v>
      </c>
      <c r="C14" s="290">
        <v>0</v>
      </c>
    </row>
    <row r="15" spans="1:3" ht="18" hidden="1">
      <c r="A15" s="23"/>
      <c r="B15" s="23"/>
      <c r="C15" s="23"/>
    </row>
    <row r="16" spans="1:3" ht="60" customHeight="1">
      <c r="A16" s="14"/>
      <c r="B16" s="40"/>
      <c r="C16" s="40"/>
    </row>
    <row r="17" spans="2:3" ht="18">
      <c r="B17" s="40"/>
      <c r="C17" s="37" t="s">
        <v>115</v>
      </c>
    </row>
    <row r="18" spans="1:3" ht="18">
      <c r="A18" s="14"/>
      <c r="B18" s="40"/>
      <c r="C18" s="40"/>
    </row>
    <row r="19" spans="1:3" ht="17.25">
      <c r="A19" s="576" t="s">
        <v>116</v>
      </c>
      <c r="B19" s="576"/>
      <c r="C19" s="576"/>
    </row>
    <row r="20" spans="1:3" ht="18">
      <c r="A20" s="14"/>
      <c r="B20" s="40"/>
      <c r="C20" s="40"/>
    </row>
    <row r="21" spans="1:3" ht="18">
      <c r="A21" s="7" t="s">
        <v>20</v>
      </c>
      <c r="B21" s="7" t="s">
        <v>56</v>
      </c>
      <c r="C21" s="7" t="s">
        <v>117</v>
      </c>
    </row>
    <row r="22" spans="1:3" ht="18">
      <c r="A22" s="7">
        <v>1</v>
      </c>
      <c r="B22" s="7">
        <v>2</v>
      </c>
      <c r="C22" s="7">
        <v>3</v>
      </c>
    </row>
    <row r="23" spans="1:3" ht="18">
      <c r="A23" s="2" t="s">
        <v>351</v>
      </c>
      <c r="B23" s="7">
        <v>10</v>
      </c>
      <c r="C23" s="290">
        <v>0</v>
      </c>
    </row>
    <row r="24" spans="1:3" s="6" customFormat="1" ht="18">
      <c r="A24" s="2" t="s">
        <v>352</v>
      </c>
      <c r="B24" s="152">
        <v>11</v>
      </c>
      <c r="C24" s="290">
        <v>0</v>
      </c>
    </row>
    <row r="25" spans="1:3" s="6" customFormat="1" ht="18">
      <c r="A25" s="2" t="s">
        <v>353</v>
      </c>
      <c r="B25" s="152">
        <v>12</v>
      </c>
      <c r="C25" s="290">
        <v>0</v>
      </c>
    </row>
    <row r="26" spans="1:3" s="6" customFormat="1" ht="70.5" customHeight="1">
      <c r="A26" s="33" t="s">
        <v>357</v>
      </c>
      <c r="B26" s="7">
        <v>20</v>
      </c>
      <c r="C26" s="290">
        <v>0</v>
      </c>
    </row>
    <row r="27" spans="1:3" ht="36" hidden="1">
      <c r="A27" s="33" t="s">
        <v>354</v>
      </c>
      <c r="B27" s="152">
        <v>21</v>
      </c>
      <c r="C27" s="290">
        <v>0</v>
      </c>
    </row>
    <row r="28" spans="1:3" s="6" customFormat="1" ht="36">
      <c r="A28" s="33" t="s">
        <v>355</v>
      </c>
      <c r="B28" s="152">
        <v>21</v>
      </c>
      <c r="C28" s="290">
        <v>0</v>
      </c>
    </row>
    <row r="29" spans="1:3" s="6" customFormat="1" ht="36">
      <c r="A29" s="33" t="s">
        <v>356</v>
      </c>
      <c r="B29" s="152">
        <v>22</v>
      </c>
      <c r="C29" s="290">
        <v>0</v>
      </c>
    </row>
    <row r="32" spans="1:3" s="6" customFormat="1" ht="43.5" customHeight="1">
      <c r="A32" s="45" t="s">
        <v>589</v>
      </c>
      <c r="B32" s="51" t="s">
        <v>131</v>
      </c>
      <c r="C32" s="51" t="s">
        <v>590</v>
      </c>
    </row>
    <row r="33" spans="1:3" s="6" customFormat="1" ht="18">
      <c r="A33" s="12" t="s">
        <v>600</v>
      </c>
      <c r="B33" s="141" t="s">
        <v>29</v>
      </c>
      <c r="C33" s="141" t="s">
        <v>127</v>
      </c>
    </row>
    <row r="34" spans="1:3" s="6" customFormat="1" ht="47.25" customHeight="1">
      <c r="A34" s="45" t="s">
        <v>126</v>
      </c>
      <c r="B34" s="51" t="s">
        <v>131</v>
      </c>
      <c r="C34" s="51" t="s">
        <v>591</v>
      </c>
    </row>
    <row r="35" spans="1:3" s="6" customFormat="1" ht="22.5" customHeight="1">
      <c r="A35" s="12" t="s">
        <v>601</v>
      </c>
      <c r="B35" s="141" t="s">
        <v>29</v>
      </c>
      <c r="C35" s="141" t="s">
        <v>127</v>
      </c>
    </row>
  </sheetData>
  <sheetProtection/>
  <mergeCells count="4">
    <mergeCell ref="A3:C3"/>
    <mergeCell ref="A6:C6"/>
    <mergeCell ref="A19:C19"/>
    <mergeCell ref="A5:C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="58" zoomScaleSheetLayoutView="58" workbookViewId="0" topLeftCell="A1">
      <selection activeCell="C79" sqref="C79:C82"/>
    </sheetView>
  </sheetViews>
  <sheetFormatPr defaultColWidth="9.140625" defaultRowHeight="15"/>
  <cols>
    <col min="1" max="1" width="68.00390625" style="6" customWidth="1"/>
    <col min="2" max="2" width="10.7109375" style="6" customWidth="1"/>
    <col min="3" max="3" width="16.57421875" style="6" customWidth="1"/>
    <col min="4" max="4" width="51.7109375" style="6" customWidth="1"/>
    <col min="5" max="16384" width="9.140625" style="6" customWidth="1"/>
  </cols>
  <sheetData>
    <row r="1" spans="1:4" ht="18">
      <c r="A1" s="40"/>
      <c r="B1" s="40"/>
      <c r="C1" s="40"/>
      <c r="D1" s="11" t="s">
        <v>118</v>
      </c>
    </row>
    <row r="2" spans="1:4" ht="46.5" customHeight="1">
      <c r="A2" s="555" t="s">
        <v>602</v>
      </c>
      <c r="B2" s="555"/>
      <c r="C2" s="555"/>
      <c r="D2" s="555"/>
    </row>
    <row r="3" spans="1:4" ht="29.25" customHeight="1">
      <c r="A3" s="527" t="s">
        <v>603</v>
      </c>
      <c r="B3" s="527"/>
      <c r="C3" s="527"/>
      <c r="D3" s="360"/>
    </row>
    <row r="4" spans="1:4" ht="22.5" customHeight="1">
      <c r="A4" s="161" t="s">
        <v>344</v>
      </c>
      <c r="B4" s="40"/>
      <c r="C4" s="40"/>
      <c r="D4" s="40"/>
    </row>
    <row r="5" spans="1:4" ht="162" hidden="1">
      <c r="A5" s="337" t="s">
        <v>20</v>
      </c>
      <c r="B5" s="337" t="s">
        <v>72</v>
      </c>
      <c r="C5" s="337" t="s">
        <v>122</v>
      </c>
      <c r="D5" s="337" t="s">
        <v>119</v>
      </c>
    </row>
    <row r="6" spans="1:4" ht="18" hidden="1">
      <c r="A6" s="337">
        <v>1</v>
      </c>
      <c r="B6" s="337">
        <v>2</v>
      </c>
      <c r="C6" s="337">
        <v>3</v>
      </c>
      <c r="D6" s="337">
        <v>4</v>
      </c>
    </row>
    <row r="7" spans="1:4" ht="16.5" customHeight="1" hidden="1">
      <c r="A7" s="48" t="s">
        <v>123</v>
      </c>
      <c r="B7" s="49"/>
      <c r="C7" s="49"/>
      <c r="D7" s="50"/>
    </row>
    <row r="8" spans="1:4" ht="36" hidden="1">
      <c r="A8" s="43" t="s">
        <v>304</v>
      </c>
      <c r="B8" s="43"/>
      <c r="C8" s="343">
        <f>C45+C67</f>
        <v>0</v>
      </c>
      <c r="D8" s="43"/>
    </row>
    <row r="9" spans="1:4" ht="18" hidden="1">
      <c r="A9" s="365" t="s">
        <v>120</v>
      </c>
      <c r="B9" s="337"/>
      <c r="C9" s="354">
        <f>C68+C46+C29</f>
        <v>0</v>
      </c>
      <c r="D9" s="337"/>
    </row>
    <row r="10" spans="1:4" ht="18" hidden="1">
      <c r="A10" s="333" t="s">
        <v>40</v>
      </c>
      <c r="B10" s="337"/>
      <c r="C10" s="344"/>
      <c r="D10" s="337"/>
    </row>
    <row r="11" spans="1:4" ht="18" hidden="1">
      <c r="A11" s="366" t="s">
        <v>86</v>
      </c>
      <c r="B11" s="352">
        <v>130</v>
      </c>
      <c r="C11" s="354">
        <f>C31+C48+C70</f>
        <v>0</v>
      </c>
      <c r="D11" s="337"/>
    </row>
    <row r="12" spans="1:4" ht="18" hidden="1">
      <c r="A12" s="33"/>
      <c r="B12" s="361"/>
      <c r="C12" s="290"/>
      <c r="D12" s="122"/>
    </row>
    <row r="13" spans="1:4" ht="18" hidden="1">
      <c r="A13" s="356" t="s">
        <v>121</v>
      </c>
      <c r="B13" s="362"/>
      <c r="C13" s="353">
        <f>C32+C49+C71</f>
        <v>0</v>
      </c>
      <c r="D13" s="337"/>
    </row>
    <row r="14" spans="1:4" ht="18" hidden="1">
      <c r="A14" s="43" t="s">
        <v>40</v>
      </c>
      <c r="B14" s="337"/>
      <c r="C14" s="344"/>
      <c r="D14" s="337"/>
    </row>
    <row r="15" spans="1:4" ht="18" hidden="1">
      <c r="A15" s="33" t="s">
        <v>307</v>
      </c>
      <c r="B15" s="31">
        <v>111.119</v>
      </c>
      <c r="C15" s="344">
        <f>C51+C73</f>
        <v>0</v>
      </c>
      <c r="D15" s="337"/>
    </row>
    <row r="16" spans="1:4" ht="28.5" customHeight="1" hidden="1">
      <c r="A16" s="33" t="s">
        <v>309</v>
      </c>
      <c r="B16" s="334">
        <v>111</v>
      </c>
      <c r="C16" s="344">
        <f>C37</f>
        <v>0</v>
      </c>
      <c r="D16" s="337"/>
    </row>
    <row r="17" spans="1:4" ht="54" hidden="1">
      <c r="A17" s="33" t="s">
        <v>312</v>
      </c>
      <c r="B17" s="31">
        <v>119</v>
      </c>
      <c r="C17" s="344">
        <f>C38</f>
        <v>0</v>
      </c>
      <c r="D17" s="337"/>
    </row>
    <row r="18" spans="1:4" ht="18" hidden="1">
      <c r="A18" s="33" t="s">
        <v>323</v>
      </c>
      <c r="B18" s="31">
        <v>853</v>
      </c>
      <c r="C18" s="344" t="e">
        <f>#REF!</f>
        <v>#REF!</v>
      </c>
      <c r="D18" s="337"/>
    </row>
    <row r="19" spans="1:4" ht="36" hidden="1">
      <c r="A19" s="35" t="s">
        <v>310</v>
      </c>
      <c r="B19" s="31">
        <v>112</v>
      </c>
      <c r="C19" s="344"/>
      <c r="D19" s="337"/>
    </row>
    <row r="20" spans="1:4" ht="18" hidden="1">
      <c r="A20" s="33" t="s">
        <v>330</v>
      </c>
      <c r="B20" s="31">
        <v>244</v>
      </c>
      <c r="C20" s="344">
        <f>C79</f>
        <v>0</v>
      </c>
      <c r="D20" s="337"/>
    </row>
    <row r="21" spans="1:4" ht="18" hidden="1">
      <c r="A21" s="33" t="s">
        <v>332</v>
      </c>
      <c r="B21" s="31">
        <v>244</v>
      </c>
      <c r="C21" s="344">
        <f>C80+C40</f>
        <v>0</v>
      </c>
      <c r="D21" s="337"/>
    </row>
    <row r="22" spans="1:4" ht="18" hidden="1">
      <c r="A22" s="33" t="s">
        <v>334</v>
      </c>
      <c r="B22" s="31">
        <v>244</v>
      </c>
      <c r="C22" s="344" t="e">
        <f>#REF!</f>
        <v>#REF!</v>
      </c>
      <c r="D22" s="337"/>
    </row>
    <row r="23" spans="1:4" ht="18" hidden="1">
      <c r="A23" s="33" t="s">
        <v>335</v>
      </c>
      <c r="B23" s="337">
        <v>244</v>
      </c>
      <c r="C23" s="344">
        <f>C81</f>
        <v>0</v>
      </c>
      <c r="D23" s="337"/>
    </row>
    <row r="24" spans="1:4" ht="18" hidden="1">
      <c r="A24" s="33" t="s">
        <v>336</v>
      </c>
      <c r="B24" s="363">
        <v>244</v>
      </c>
      <c r="C24" s="344">
        <f>C83</f>
        <v>0</v>
      </c>
      <c r="D24" s="337"/>
    </row>
    <row r="25" spans="1:4" ht="18" hidden="1">
      <c r="A25" s="33" t="s">
        <v>338</v>
      </c>
      <c r="B25" s="31">
        <v>244</v>
      </c>
      <c r="C25" s="344"/>
      <c r="D25" s="337"/>
    </row>
    <row r="26" spans="1:4" ht="18" hidden="1">
      <c r="A26" s="43" t="s">
        <v>305</v>
      </c>
      <c r="B26" s="337"/>
      <c r="C26" s="343">
        <f>C8+C9-C13</f>
        <v>0</v>
      </c>
      <c r="D26" s="337"/>
    </row>
    <row r="27" spans="1:4" ht="39.75" customHeight="1">
      <c r="A27" s="48" t="s">
        <v>129</v>
      </c>
      <c r="B27" s="49"/>
      <c r="C27" s="345"/>
      <c r="D27" s="50"/>
    </row>
    <row r="28" spans="1:4" ht="36">
      <c r="A28" s="43" t="s">
        <v>304</v>
      </c>
      <c r="B28" s="43"/>
      <c r="C28" s="343">
        <v>0</v>
      </c>
      <c r="D28" s="43"/>
    </row>
    <row r="29" spans="1:4" ht="18">
      <c r="A29" s="355" t="s">
        <v>120</v>
      </c>
      <c r="B29" s="92"/>
      <c r="C29" s="343">
        <v>0</v>
      </c>
      <c r="D29" s="335"/>
    </row>
    <row r="30" spans="1:4" ht="18">
      <c r="A30" s="33" t="s">
        <v>40</v>
      </c>
      <c r="B30" s="122"/>
      <c r="C30" s="343"/>
      <c r="D30" s="337"/>
    </row>
    <row r="31" spans="1:4" ht="18">
      <c r="A31" s="30" t="s">
        <v>86</v>
      </c>
      <c r="B31" s="352">
        <v>130</v>
      </c>
      <c r="C31" s="343">
        <v>0</v>
      </c>
      <c r="D31" s="337"/>
    </row>
    <row r="32" spans="1:4" ht="18">
      <c r="A32" s="356" t="s">
        <v>121</v>
      </c>
      <c r="B32" s="92"/>
      <c r="C32" s="343">
        <f>C38+C40+C41+C37+C39</f>
        <v>0</v>
      </c>
      <c r="D32" s="337"/>
    </row>
    <row r="33" spans="1:4" ht="18">
      <c r="A33" s="43" t="s">
        <v>40</v>
      </c>
      <c r="B33" s="337"/>
      <c r="C33" s="344"/>
      <c r="D33" s="337"/>
    </row>
    <row r="34" spans="1:4" ht="15.75" customHeight="1" hidden="1">
      <c r="A34" s="33" t="s">
        <v>307</v>
      </c>
      <c r="B34" s="31">
        <v>100</v>
      </c>
      <c r="C34" s="344"/>
      <c r="D34" s="339"/>
    </row>
    <row r="35" spans="1:4" ht="42" customHeight="1" hidden="1">
      <c r="A35" s="33" t="s">
        <v>309</v>
      </c>
      <c r="B35" s="334">
        <v>111</v>
      </c>
      <c r="C35" s="344"/>
      <c r="D35" s="339" t="s">
        <v>511</v>
      </c>
    </row>
    <row r="36" spans="1:4" ht="15.75" customHeight="1" hidden="1">
      <c r="A36" s="33" t="s">
        <v>312</v>
      </c>
      <c r="B36" s="31">
        <v>119</v>
      </c>
      <c r="C36" s="349"/>
      <c r="D36" s="339" t="s">
        <v>512</v>
      </c>
    </row>
    <row r="37" spans="1:4" ht="29.25" customHeight="1">
      <c r="A37" s="33" t="s">
        <v>309</v>
      </c>
      <c r="B37" s="31">
        <v>212</v>
      </c>
      <c r="C37" s="349"/>
      <c r="D37" s="339"/>
    </row>
    <row r="38" spans="1:4" ht="42.75" customHeight="1">
      <c r="A38" s="33" t="s">
        <v>566</v>
      </c>
      <c r="B38" s="31"/>
      <c r="C38" s="349"/>
      <c r="D38" s="339"/>
    </row>
    <row r="39" spans="1:4" ht="64.5" customHeight="1">
      <c r="A39" s="33" t="s">
        <v>332</v>
      </c>
      <c r="B39" s="31">
        <v>244</v>
      </c>
      <c r="C39" s="349"/>
      <c r="D39" s="339" t="s">
        <v>571</v>
      </c>
    </row>
    <row r="40" spans="1:4" ht="25.5" customHeight="1">
      <c r="A40" s="33" t="s">
        <v>331</v>
      </c>
      <c r="B40" s="31">
        <v>244</v>
      </c>
      <c r="C40" s="349"/>
      <c r="D40" s="339" t="s">
        <v>572</v>
      </c>
    </row>
    <row r="41" spans="1:4" ht="42" customHeight="1">
      <c r="A41" s="351" t="s">
        <v>567</v>
      </c>
      <c r="B41" s="31">
        <v>244</v>
      </c>
      <c r="C41" s="349"/>
      <c r="D41" s="415" t="s">
        <v>577</v>
      </c>
    </row>
    <row r="42" spans="1:4" ht="15.75" customHeight="1">
      <c r="A42" s="33"/>
      <c r="B42" s="31"/>
      <c r="C42" s="349"/>
      <c r="D42" s="415"/>
    </row>
    <row r="43" spans="1:4" ht="18">
      <c r="A43" s="350" t="s">
        <v>305</v>
      </c>
      <c r="B43" s="367"/>
      <c r="C43" s="343">
        <f>C28+C29-C32</f>
        <v>0</v>
      </c>
      <c r="D43" s="397"/>
    </row>
    <row r="44" spans="1:4" ht="78.75" customHeight="1">
      <c r="A44" s="48" t="str">
        <f>таб2_1!$I$11</f>
        <v>Средства обязательного медицинского страхования</v>
      </c>
      <c r="B44" s="49"/>
      <c r="C44" s="345"/>
      <c r="D44" s="416"/>
    </row>
    <row r="45" spans="1:4" ht="18.75" customHeight="1">
      <c r="A45" s="43" t="s">
        <v>304</v>
      </c>
      <c r="B45" s="43"/>
      <c r="C45" s="343"/>
      <c r="D45" s="399"/>
    </row>
    <row r="46" spans="1:4" ht="18">
      <c r="A46" s="43" t="s">
        <v>120</v>
      </c>
      <c r="B46" s="337"/>
      <c r="C46" s="343"/>
      <c r="D46" s="397">
        <v>0</v>
      </c>
    </row>
    <row r="47" spans="1:4" ht="18">
      <c r="A47" s="33" t="s">
        <v>40</v>
      </c>
      <c r="B47" s="122"/>
      <c r="C47" s="343"/>
      <c r="D47" s="339"/>
    </row>
    <row r="48" spans="1:4" ht="18">
      <c r="A48" s="366" t="s">
        <v>86</v>
      </c>
      <c r="B48" s="370">
        <v>130</v>
      </c>
      <c r="C48" s="364"/>
      <c r="D48" s="431"/>
    </row>
    <row r="49" spans="1:4" ht="18">
      <c r="A49" s="10" t="s">
        <v>121</v>
      </c>
      <c r="B49" s="413"/>
      <c r="C49" s="357">
        <f>C53+C58+C60+C61+C62+C63+C59+C52+C54</f>
        <v>0</v>
      </c>
      <c r="D49" s="418"/>
    </row>
    <row r="50" spans="1:4" ht="18">
      <c r="A50" s="350" t="s">
        <v>40</v>
      </c>
      <c r="B50" s="414"/>
      <c r="C50" s="347"/>
      <c r="D50" s="419"/>
    </row>
    <row r="51" spans="1:4" ht="18">
      <c r="A51" s="33" t="s">
        <v>307</v>
      </c>
      <c r="B51" s="371">
        <v>111.119</v>
      </c>
      <c r="C51" s="364"/>
      <c r="D51" s="420"/>
    </row>
    <row r="52" spans="1:4" ht="72">
      <c r="A52" s="33" t="s">
        <v>309</v>
      </c>
      <c r="B52" s="334">
        <v>111</v>
      </c>
      <c r="C52" s="344"/>
      <c r="D52" s="417" t="s">
        <v>574</v>
      </c>
    </row>
    <row r="53" spans="1:4" ht="72">
      <c r="A53" s="35" t="s">
        <v>310</v>
      </c>
      <c r="B53" s="31">
        <v>213</v>
      </c>
      <c r="C53" s="349"/>
      <c r="D53" s="417" t="s">
        <v>575</v>
      </c>
    </row>
    <row r="54" spans="1:4" ht="54">
      <c r="A54" s="33" t="s">
        <v>312</v>
      </c>
      <c r="B54" s="31">
        <v>119</v>
      </c>
      <c r="C54" s="344"/>
      <c r="D54" s="430">
        <v>0.302</v>
      </c>
    </row>
    <row r="55" spans="1:4" ht="18">
      <c r="A55" s="35" t="s">
        <v>322</v>
      </c>
      <c r="B55" s="371">
        <v>852</v>
      </c>
      <c r="C55" s="290"/>
      <c r="D55" s="421"/>
    </row>
    <row r="56" spans="1:4" ht="18">
      <c r="A56" s="35" t="s">
        <v>323</v>
      </c>
      <c r="B56" s="371">
        <v>853</v>
      </c>
      <c r="C56" s="290"/>
      <c r="D56" s="421"/>
    </row>
    <row r="57" spans="1:4" ht="35.25" customHeight="1">
      <c r="A57" s="33" t="s">
        <v>68</v>
      </c>
      <c r="B57" s="371">
        <v>244</v>
      </c>
      <c r="C57" s="290"/>
      <c r="D57" s="422"/>
    </row>
    <row r="58" spans="1:4" ht="71.25" customHeight="1">
      <c r="A58" s="35" t="s">
        <v>330</v>
      </c>
      <c r="B58" s="31">
        <v>244</v>
      </c>
      <c r="C58" s="290"/>
      <c r="D58" s="96" t="s">
        <v>576</v>
      </c>
    </row>
    <row r="59" spans="1:4" ht="69.75" customHeight="1">
      <c r="A59" s="33" t="s">
        <v>332</v>
      </c>
      <c r="B59" s="31">
        <v>244</v>
      </c>
      <c r="C59" s="290"/>
      <c r="D59" s="415" t="s">
        <v>571</v>
      </c>
    </row>
    <row r="60" spans="1:4" ht="54" customHeight="1">
      <c r="A60" s="33" t="s">
        <v>335</v>
      </c>
      <c r="B60" s="414">
        <v>244</v>
      </c>
      <c r="C60" s="347"/>
      <c r="D60" s="423" t="s">
        <v>573</v>
      </c>
    </row>
    <row r="61" spans="1:4" ht="46.5" customHeight="1">
      <c r="A61" s="33" t="s">
        <v>565</v>
      </c>
      <c r="B61" s="429">
        <v>244</v>
      </c>
      <c r="C61" s="347"/>
      <c r="D61" s="423" t="s">
        <v>583</v>
      </c>
    </row>
    <row r="62" spans="1:4" ht="25.5" customHeight="1">
      <c r="A62" s="33" t="s">
        <v>331</v>
      </c>
      <c r="B62" s="432">
        <v>244</v>
      </c>
      <c r="C62" s="433"/>
      <c r="D62" s="422" t="s">
        <v>578</v>
      </c>
    </row>
    <row r="63" spans="1:4" ht="25.5" customHeight="1">
      <c r="A63" s="33" t="s">
        <v>568</v>
      </c>
      <c r="B63" s="432">
        <v>244</v>
      </c>
      <c r="C63" s="433"/>
      <c r="D63" s="422" t="s">
        <v>579</v>
      </c>
    </row>
    <row r="64" spans="1:4" ht="25.5" customHeight="1">
      <c r="A64" s="33" t="s">
        <v>336</v>
      </c>
      <c r="B64" s="337">
        <v>244</v>
      </c>
      <c r="C64" s="344"/>
      <c r="D64" s="434"/>
    </row>
    <row r="65" spans="1:4" ht="34.5">
      <c r="A65" s="365" t="s">
        <v>305</v>
      </c>
      <c r="B65" s="337"/>
      <c r="C65" s="343">
        <f>C45+C48-C49</f>
        <v>0</v>
      </c>
      <c r="D65" s="337"/>
    </row>
    <row r="66" spans="1:5" ht="50.25" customHeight="1">
      <c r="A66" s="629" t="s">
        <v>78</v>
      </c>
      <c r="B66" s="629"/>
      <c r="C66" s="629"/>
      <c r="D66" s="629"/>
      <c r="E66" s="629"/>
    </row>
    <row r="67" spans="1:4" ht="37.5" customHeight="1">
      <c r="A67" s="43" t="s">
        <v>304</v>
      </c>
      <c r="B67" s="43"/>
      <c r="C67" s="343"/>
      <c r="D67" s="399"/>
    </row>
    <row r="68" spans="1:4" ht="75.75" customHeight="1">
      <c r="A68" s="43" t="s">
        <v>120</v>
      </c>
      <c r="B68" s="337"/>
      <c r="C68" s="343"/>
      <c r="D68" s="397"/>
    </row>
    <row r="69" spans="1:4" ht="16.5" customHeight="1">
      <c r="A69" s="33" t="s">
        <v>40</v>
      </c>
      <c r="B69" s="122"/>
      <c r="C69" s="343"/>
      <c r="D69" s="339"/>
    </row>
    <row r="70" spans="1:4" ht="18">
      <c r="A70" s="366" t="s">
        <v>86</v>
      </c>
      <c r="B70" s="370">
        <v>130</v>
      </c>
      <c r="C70" s="364"/>
      <c r="D70" s="412"/>
    </row>
    <row r="71" spans="1:4" ht="18">
      <c r="A71" s="10" t="s">
        <v>121</v>
      </c>
      <c r="B71" s="368"/>
      <c r="C71" s="357">
        <f>C73+C76+C78+C81+C83+C77+C82+C79+C80</f>
        <v>0</v>
      </c>
      <c r="D71" s="418"/>
    </row>
    <row r="72" spans="1:4" ht="48.75" customHeight="1" hidden="1">
      <c r="A72" s="350" t="s">
        <v>40</v>
      </c>
      <c r="B72" s="369"/>
      <c r="C72" s="347"/>
      <c r="D72" s="419"/>
    </row>
    <row r="73" spans="1:4" ht="36.75" customHeight="1" hidden="1">
      <c r="A73" s="33" t="s">
        <v>307</v>
      </c>
      <c r="B73" s="371">
        <v>111.119</v>
      </c>
      <c r="C73" s="364">
        <f>C74+C75</f>
        <v>0</v>
      </c>
      <c r="D73" s="420"/>
    </row>
    <row r="74" spans="1:4" ht="39.75" customHeight="1" hidden="1">
      <c r="A74" s="33" t="s">
        <v>309</v>
      </c>
      <c r="B74" s="334">
        <v>111</v>
      </c>
      <c r="C74" s="344"/>
      <c r="D74" s="417"/>
    </row>
    <row r="75" spans="1:4" ht="54" customHeight="1" hidden="1">
      <c r="A75" s="33" t="s">
        <v>312</v>
      </c>
      <c r="B75" s="31">
        <v>119</v>
      </c>
      <c r="C75" s="344"/>
      <c r="D75" s="431"/>
    </row>
    <row r="76" spans="1:4" ht="36.75" customHeight="1" hidden="1">
      <c r="A76" s="35" t="s">
        <v>310</v>
      </c>
      <c r="B76" s="371">
        <v>112</v>
      </c>
      <c r="C76" s="290">
        <v>0</v>
      </c>
      <c r="D76" s="435"/>
    </row>
    <row r="77" spans="1:4" ht="36.75" customHeight="1" hidden="1">
      <c r="A77" s="35" t="s">
        <v>323</v>
      </c>
      <c r="B77" s="371">
        <v>853</v>
      </c>
      <c r="C77" s="290"/>
      <c r="D77" s="436"/>
    </row>
    <row r="78" spans="1:4" ht="48" customHeight="1" hidden="1">
      <c r="A78" s="33" t="s">
        <v>68</v>
      </c>
      <c r="B78" s="371">
        <v>244</v>
      </c>
      <c r="C78" s="290"/>
      <c r="D78" s="422"/>
    </row>
    <row r="79" spans="1:4" ht="33.75" customHeight="1">
      <c r="A79" s="33" t="s">
        <v>472</v>
      </c>
      <c r="B79" s="31">
        <v>244</v>
      </c>
      <c r="C79" s="290"/>
      <c r="D79" s="422" t="s">
        <v>582</v>
      </c>
    </row>
    <row r="80" spans="1:4" ht="62.25" customHeight="1">
      <c r="A80" s="33" t="s">
        <v>332</v>
      </c>
      <c r="B80" s="31">
        <v>244</v>
      </c>
      <c r="C80" s="290"/>
      <c r="D80" s="415" t="s">
        <v>571</v>
      </c>
    </row>
    <row r="81" spans="1:4" ht="69.75" customHeight="1">
      <c r="A81" s="33" t="s">
        <v>570</v>
      </c>
      <c r="B81" s="369">
        <v>244</v>
      </c>
      <c r="C81" s="347"/>
      <c r="D81" s="80" t="s">
        <v>580</v>
      </c>
    </row>
    <row r="82" spans="1:4" ht="57" customHeight="1">
      <c r="A82" s="33" t="s">
        <v>569</v>
      </c>
      <c r="B82" s="429">
        <v>244</v>
      </c>
      <c r="C82" s="433"/>
      <c r="D82" s="422" t="s">
        <v>581</v>
      </c>
    </row>
    <row r="83" spans="1:4" ht="37.5" customHeight="1" hidden="1">
      <c r="A83" s="33" t="s">
        <v>564</v>
      </c>
      <c r="B83" s="337">
        <v>244</v>
      </c>
      <c r="C83" s="344"/>
      <c r="D83" s="434"/>
    </row>
    <row r="84" spans="1:4" ht="34.5">
      <c r="A84" s="365" t="s">
        <v>305</v>
      </c>
      <c r="B84" s="337"/>
      <c r="C84" s="343">
        <f>C67+C70-C71</f>
        <v>0</v>
      </c>
      <c r="D84" s="337"/>
    </row>
    <row r="85" spans="1:4" ht="34.5" customHeight="1">
      <c r="A85" s="628" t="s">
        <v>132</v>
      </c>
      <c r="B85" s="628"/>
      <c r="C85" s="628"/>
      <c r="D85" s="628"/>
    </row>
    <row r="86" spans="1:4" ht="42" customHeight="1">
      <c r="A86" s="47" t="s">
        <v>124</v>
      </c>
      <c r="B86" s="46"/>
      <c r="C86" s="359" t="s">
        <v>131</v>
      </c>
      <c r="D86" s="359" t="s">
        <v>587</v>
      </c>
    </row>
    <row r="87" spans="1:4" ht="18">
      <c r="A87" s="12" t="s">
        <v>128</v>
      </c>
      <c r="B87" s="44"/>
      <c r="C87" s="358" t="s">
        <v>29</v>
      </c>
      <c r="D87" s="358" t="s">
        <v>127</v>
      </c>
    </row>
    <row r="88" spans="1:4" ht="43.5" customHeight="1">
      <c r="A88" s="45" t="s">
        <v>125</v>
      </c>
      <c r="B88" s="46"/>
      <c r="C88" s="359" t="s">
        <v>131</v>
      </c>
      <c r="D88" s="359" t="s">
        <v>590</v>
      </c>
    </row>
    <row r="89" spans="1:4" ht="18">
      <c r="A89" s="12" t="s">
        <v>604</v>
      </c>
      <c r="B89" s="44"/>
      <c r="C89" s="358" t="s">
        <v>29</v>
      </c>
      <c r="D89" s="358" t="s">
        <v>127</v>
      </c>
    </row>
    <row r="90" spans="1:4" ht="47.25" customHeight="1">
      <c r="A90" s="45" t="s">
        <v>126</v>
      </c>
      <c r="B90" s="46"/>
      <c r="C90" s="359" t="s">
        <v>131</v>
      </c>
      <c r="D90" s="359" t="s">
        <v>591</v>
      </c>
    </row>
    <row r="91" spans="1:4" ht="15" customHeight="1">
      <c r="A91" s="12" t="s">
        <v>604</v>
      </c>
      <c r="B91" s="44"/>
      <c r="C91" s="358" t="s">
        <v>29</v>
      </c>
      <c r="D91" s="358" t="s">
        <v>127</v>
      </c>
    </row>
    <row r="92" spans="2:4" ht="14.25">
      <c r="B92" s="41"/>
      <c r="C92" s="36"/>
      <c r="D92" s="36"/>
    </row>
    <row r="93" spans="3:4" ht="14.25">
      <c r="C93" s="36"/>
      <c r="D93" s="36"/>
    </row>
    <row r="94" spans="3:4" ht="14.25">
      <c r="C94" s="36"/>
      <c r="D94" s="36"/>
    </row>
  </sheetData>
  <sheetProtection/>
  <mergeCells count="4">
    <mergeCell ref="A2:D2"/>
    <mergeCell ref="A3:C3"/>
    <mergeCell ref="A85:D85"/>
    <mergeCell ref="A66:E6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1"/>
  <sheetViews>
    <sheetView view="pageBreakPreview" zoomScale="60" zoomScalePageLayoutView="0" workbookViewId="0" topLeftCell="A24">
      <selection activeCell="H38" sqref="H38"/>
    </sheetView>
  </sheetViews>
  <sheetFormatPr defaultColWidth="9.140625" defaultRowHeight="15"/>
  <cols>
    <col min="1" max="1" width="5.00390625" style="131" customWidth="1"/>
    <col min="2" max="2" width="33.00390625" style="131" customWidth="1"/>
    <col min="3" max="3" width="14.00390625" style="131" customWidth="1"/>
    <col min="4" max="7" width="13.28125" style="131" customWidth="1"/>
    <col min="8" max="8" width="13.7109375" style="131" customWidth="1"/>
    <col min="9" max="9" width="14.421875" style="131" customWidth="1"/>
    <col min="10" max="10" width="18.421875" style="131" customWidth="1"/>
    <col min="11" max="11" width="24.140625" style="131" customWidth="1"/>
    <col min="12" max="12" width="17.140625" style="131" customWidth="1"/>
    <col min="13" max="16384" width="9.140625" style="131" customWidth="1"/>
  </cols>
  <sheetData>
    <row r="1" spans="1:11" s="70" customFormat="1" ht="16.5" customHeight="1" hidden="1">
      <c r="A1" s="3"/>
      <c r="B1" s="99"/>
      <c r="C1" s="240"/>
      <c r="D1" s="240"/>
      <c r="E1" s="240"/>
      <c r="K1" s="11" t="s">
        <v>159</v>
      </c>
    </row>
    <row r="2" spans="1:11" s="70" customFormat="1" ht="18.75" customHeight="1" hidden="1">
      <c r="A2" s="3"/>
      <c r="B2" s="99"/>
      <c r="C2" s="240"/>
      <c r="D2" s="240"/>
      <c r="E2" s="240"/>
      <c r="K2" s="9" t="s">
        <v>31</v>
      </c>
    </row>
    <row r="3" spans="1:11" s="70" customFormat="1" ht="18.75" customHeight="1" hidden="1">
      <c r="A3" s="3"/>
      <c r="B3" s="99"/>
      <c r="C3" s="240"/>
      <c r="D3" s="240"/>
      <c r="E3" s="240"/>
      <c r="K3" s="9" t="s">
        <v>32</v>
      </c>
    </row>
    <row r="4" spans="1:11" s="70" customFormat="1" ht="18.75" customHeight="1" hidden="1">
      <c r="A4" s="3"/>
      <c r="B4" s="99"/>
      <c r="C4" s="240"/>
      <c r="D4" s="240"/>
      <c r="E4" s="240"/>
      <c r="K4" s="9" t="s">
        <v>14</v>
      </c>
    </row>
    <row r="5" spans="1:11" s="70" customFormat="1" ht="18.75" customHeight="1" hidden="1">
      <c r="A5" s="3"/>
      <c r="B5" s="99"/>
      <c r="C5" s="240"/>
      <c r="D5" s="240"/>
      <c r="E5" s="240"/>
      <c r="K5" s="9" t="s">
        <v>15</v>
      </c>
    </row>
    <row r="6" spans="1:11" s="70" customFormat="1" ht="18.75" customHeight="1" hidden="1">
      <c r="A6" s="3"/>
      <c r="B6" s="99"/>
      <c r="C6" s="240"/>
      <c r="D6" s="240"/>
      <c r="E6" s="240"/>
      <c r="K6" s="9" t="s">
        <v>16</v>
      </c>
    </row>
    <row r="7" spans="1:11" s="70" customFormat="1" ht="18.75" customHeight="1" hidden="1">
      <c r="A7" s="3"/>
      <c r="B7" s="99"/>
      <c r="C7" s="240"/>
      <c r="D7" s="240"/>
      <c r="E7" s="240"/>
      <c r="K7" s="239" t="s">
        <v>17</v>
      </c>
    </row>
    <row r="8" spans="1:12" s="70" customFormat="1" ht="14.25" customHeight="1" hidden="1">
      <c r="A8" s="3"/>
      <c r="B8" s="99"/>
      <c r="C8" s="240"/>
      <c r="D8" s="240"/>
      <c r="E8" s="240"/>
      <c r="F8" s="240"/>
      <c r="L8" s="74"/>
    </row>
    <row r="9" spans="1:12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1" t="s">
        <v>302</v>
      </c>
      <c r="L9" s="130"/>
    </row>
    <row r="10" spans="1:12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28.5" customHeight="1">
      <c r="A11" s="630" t="s">
        <v>303</v>
      </c>
      <c r="B11" s="631"/>
      <c r="C11" s="631"/>
      <c r="D11" s="631"/>
      <c r="E11" s="631"/>
      <c r="F11" s="631"/>
      <c r="G11" s="631"/>
      <c r="H11" s="631"/>
      <c r="I11" s="631"/>
      <c r="J11" s="631"/>
      <c r="K11" s="129"/>
      <c r="L11" s="130"/>
    </row>
    <row r="12" spans="1:12" ht="28.5" customHeight="1">
      <c r="A12" s="146"/>
      <c r="B12" s="632" t="s">
        <v>717</v>
      </c>
      <c r="C12" s="632"/>
      <c r="D12" s="632"/>
      <c r="E12" s="632"/>
      <c r="F12" s="632"/>
      <c r="G12" s="632"/>
      <c r="H12" s="632"/>
      <c r="I12" s="632"/>
      <c r="J12" s="632"/>
      <c r="K12" s="632"/>
      <c r="L12" s="130"/>
    </row>
    <row r="13" spans="1:12" ht="19.5" customHeight="1">
      <c r="A13" s="146"/>
      <c r="B13" s="633" t="s">
        <v>346</v>
      </c>
      <c r="C13" s="633"/>
      <c r="D13" s="633"/>
      <c r="E13" s="633"/>
      <c r="F13" s="633"/>
      <c r="G13" s="633"/>
      <c r="H13" s="633"/>
      <c r="I13" s="633"/>
      <c r="J13" s="633"/>
      <c r="K13" s="633"/>
      <c r="L13" s="130"/>
    </row>
    <row r="14" spans="1:11" s="70" customFormat="1" ht="25.5" customHeight="1">
      <c r="A14" s="84"/>
      <c r="B14" s="632" t="s">
        <v>734</v>
      </c>
      <c r="C14" s="632"/>
      <c r="D14" s="632"/>
      <c r="E14" s="632"/>
      <c r="F14" s="632"/>
      <c r="G14" s="632"/>
      <c r="H14" s="632"/>
      <c r="I14" s="632"/>
      <c r="J14" s="632"/>
      <c r="K14" s="632"/>
    </row>
    <row r="15" spans="1:11" s="70" customFormat="1" ht="24.75" customHeight="1">
      <c r="A15" s="84"/>
      <c r="B15" s="633" t="s">
        <v>252</v>
      </c>
      <c r="C15" s="633"/>
      <c r="D15" s="633"/>
      <c r="E15" s="633"/>
      <c r="F15" s="633"/>
      <c r="G15" s="633"/>
      <c r="H15" s="633"/>
      <c r="I15" s="633"/>
      <c r="J15" s="633"/>
      <c r="K15" s="633"/>
    </row>
    <row r="16" spans="1:12" ht="6.75" customHeight="1">
      <c r="A16" s="132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31.5" customHeight="1">
      <c r="A17" s="634" t="s">
        <v>157</v>
      </c>
      <c r="B17" s="634" t="s">
        <v>279</v>
      </c>
      <c r="C17" s="634" t="s">
        <v>280</v>
      </c>
      <c r="D17" s="636" t="s">
        <v>281</v>
      </c>
      <c r="E17" s="637"/>
      <c r="F17" s="637"/>
      <c r="G17" s="638"/>
      <c r="H17" s="634" t="s">
        <v>298</v>
      </c>
      <c r="I17" s="634" t="s">
        <v>297</v>
      </c>
      <c r="J17" s="639" t="s">
        <v>299</v>
      </c>
      <c r="K17" s="641" t="s">
        <v>294</v>
      </c>
      <c r="L17" s="130"/>
    </row>
    <row r="18" spans="1:12" ht="17.25">
      <c r="A18" s="635"/>
      <c r="B18" s="635"/>
      <c r="C18" s="635"/>
      <c r="D18" s="634" t="s">
        <v>95</v>
      </c>
      <c r="E18" s="636" t="s">
        <v>301</v>
      </c>
      <c r="F18" s="637"/>
      <c r="G18" s="638"/>
      <c r="H18" s="635"/>
      <c r="I18" s="635"/>
      <c r="J18" s="640"/>
      <c r="K18" s="642"/>
      <c r="L18" s="130"/>
    </row>
    <row r="19" spans="1:12" ht="73.5" customHeight="1">
      <c r="A19" s="635"/>
      <c r="B19" s="635"/>
      <c r="C19" s="635"/>
      <c r="D19" s="635"/>
      <c r="E19" s="147" t="s">
        <v>282</v>
      </c>
      <c r="F19" s="147" t="s">
        <v>283</v>
      </c>
      <c r="G19" s="147" t="s">
        <v>284</v>
      </c>
      <c r="H19" s="635"/>
      <c r="I19" s="635"/>
      <c r="J19" s="640"/>
      <c r="K19" s="642"/>
      <c r="L19" s="130"/>
    </row>
    <row r="20" spans="1:11" s="139" customFormat="1" ht="39" customHeight="1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 t="s">
        <v>300</v>
      </c>
      <c r="K20" s="138">
        <v>11</v>
      </c>
    </row>
    <row r="21" spans="1:12" ht="18">
      <c r="A21" s="154">
        <v>1</v>
      </c>
      <c r="B21" s="155" t="s">
        <v>285</v>
      </c>
      <c r="C21" s="156">
        <f>'111 ОМС'!C21+'111 Б'!C21+'111 ВнеБ(дополнит)'!C21+'111 ВнеБ осн.'!C21</f>
        <v>1</v>
      </c>
      <c r="D21" s="156">
        <f>E21+F21+G21</f>
        <v>38.293</v>
      </c>
      <c r="E21" s="156">
        <f>'111 ОМС'!E21+'111 Б'!E21+'111 ВнеБ(дополнит)'!E21+'111 ВнеБ осн.'!E21</f>
        <v>30.634</v>
      </c>
      <c r="F21" s="156">
        <f>'111 ОМС'!F21+'111 Б'!F21+'111 ВнеБ(дополнит)'!F21+'111 ВнеБ осн.'!F21</f>
        <v>7.659</v>
      </c>
      <c r="G21" s="156">
        <f>'111 ОМС'!G21+'111 Б'!G21+'111 ВнеБ(дополнит)'!G21+'111 ВнеБ осн.'!G21</f>
        <v>0</v>
      </c>
      <c r="H21" s="156">
        <f>'111 ОМС'!H21+'111 Б'!H21+'111 ВнеБ(дополнит)'!H21+'111 ВнеБ осн.'!H21</f>
        <v>16.206</v>
      </c>
      <c r="I21" s="156">
        <f>'111 ОМС'!I21+'111 Б'!I21+'111 ВнеБ(дополнит)'!I21+'111 ВнеБ осн.'!I21</f>
        <v>300</v>
      </c>
      <c r="J21" s="156">
        <f>D21*12+H21+I21</f>
        <v>775.722</v>
      </c>
      <c r="K21" s="133">
        <f>J21/12/C21</f>
        <v>64.6435</v>
      </c>
      <c r="L21" s="130"/>
    </row>
    <row r="22" spans="1:12" ht="31.5">
      <c r="A22" s="154">
        <f aca="true" t="shared" si="0" ref="A22:A31">A21+1</f>
        <v>2</v>
      </c>
      <c r="B22" s="155" t="s">
        <v>286</v>
      </c>
      <c r="C22" s="156">
        <f>'111 ОМС'!C22+'111 Б'!C22+'111 ВнеБ(дополнит)'!C22+'111 ВнеБ осн.'!C22</f>
        <v>0</v>
      </c>
      <c r="D22" s="156">
        <f aca="true" t="shared" si="1" ref="D22:D31">E22+F22+G22</f>
        <v>0</v>
      </c>
      <c r="E22" s="156">
        <f>'111 ОМС'!E22+'111 Б'!E22+'111 ВнеБ(дополнит)'!E22+'111 ВнеБ осн.'!E22</f>
        <v>0</v>
      </c>
      <c r="F22" s="156">
        <f>'111 ОМС'!F22+'111 Б'!F22+'111 ВнеБ(дополнит)'!F22+'111 ВнеБ осн.'!F22</f>
        <v>0</v>
      </c>
      <c r="G22" s="156">
        <f>'111 ОМС'!G22+'111 Б'!G22+'111 ВнеБ(дополнит)'!G22+'111 ВнеБ осн.'!G22</f>
        <v>0</v>
      </c>
      <c r="H22" s="156">
        <f>'111 ОМС'!H22+'111 Б'!H22+'111 ВнеБ(дополнит)'!H22+'111 ВнеБ осн.'!H22</f>
        <v>0</v>
      </c>
      <c r="I22" s="156">
        <f>'111 ОМС'!I22+'111 Б'!I22+'111 ВнеБ(дополнит)'!I22+'111 ВнеБ осн.'!I22</f>
        <v>0</v>
      </c>
      <c r="J22" s="156">
        <f aca="true" t="shared" si="2" ref="J22:J30">D22*12+H22+I22</f>
        <v>0</v>
      </c>
      <c r="K22" s="133">
        <v>0</v>
      </c>
      <c r="L22" s="130"/>
    </row>
    <row r="23" spans="1:12" ht="31.5">
      <c r="A23" s="154">
        <f t="shared" si="0"/>
        <v>3</v>
      </c>
      <c r="B23" s="155" t="s">
        <v>287</v>
      </c>
      <c r="C23" s="156">
        <f>'111 ОМС'!C23+'111 Б'!C23+'111 ВнеБ(дополнит)'!C23+'111 ВнеБ осн.'!C23</f>
        <v>0</v>
      </c>
      <c r="D23" s="156">
        <f t="shared" si="1"/>
        <v>0</v>
      </c>
      <c r="E23" s="156">
        <f>'111 ОМС'!E23+'111 Б'!E23+'111 ВнеБ(дополнит)'!E23+'111 ВнеБ осн.'!E23</f>
        <v>0</v>
      </c>
      <c r="F23" s="156">
        <f>'111 ОМС'!F23+'111 Б'!F23+'111 ВнеБ(дополнит)'!F23+'111 ВнеБ осн.'!F23</f>
        <v>0</v>
      </c>
      <c r="G23" s="156">
        <f>'111 ОМС'!G23+'111 Б'!G23+'111 ВнеБ(дополнит)'!G23+'111 ВнеБ осн.'!G23</f>
        <v>0</v>
      </c>
      <c r="H23" s="156">
        <f>'111 ОМС'!H23+'111 Б'!H23+'111 ВнеБ(дополнит)'!H23+'111 ВнеБ осн.'!H23</f>
        <v>0</v>
      </c>
      <c r="I23" s="156">
        <f>'111 ОМС'!I23+'111 Б'!I23+'111 ВнеБ(дополнит)'!I23+'111 ВнеБ осн.'!I23</f>
        <v>0</v>
      </c>
      <c r="J23" s="156">
        <f t="shared" si="2"/>
        <v>0</v>
      </c>
      <c r="K23" s="133">
        <v>0</v>
      </c>
      <c r="L23" s="130"/>
    </row>
    <row r="24" spans="1:12" ht="87" customHeight="1">
      <c r="A24" s="154">
        <f t="shared" si="0"/>
        <v>4</v>
      </c>
      <c r="B24" s="157" t="s">
        <v>343</v>
      </c>
      <c r="C24" s="156">
        <f>'111 ОМС'!C24+'111 Б'!C24+'111 ВнеБ(дополнит)'!C24+'111 ВнеБ осн.'!C24</f>
        <v>24</v>
      </c>
      <c r="D24" s="156">
        <f t="shared" si="1"/>
        <v>549.422</v>
      </c>
      <c r="E24" s="156">
        <f>'111 ОМС'!E24+'111 Б'!E24+'111 ВнеБ(дополнит)'!E24+'111 ВнеБ осн.'!E24</f>
        <v>389.672</v>
      </c>
      <c r="F24" s="156">
        <f>'111 ОМС'!F24+'111 Б'!F24+'111 ВнеБ(дополнит)'!F24+'111 ВнеБ осн.'!F24</f>
        <v>110.702</v>
      </c>
      <c r="G24" s="156">
        <f>'111 ОМС'!G24+'111 Б'!G24+'111 ВнеБ(дополнит)'!G24+'111 ВнеБ осн.'!G24</f>
        <v>49.048</v>
      </c>
      <c r="H24" s="156">
        <f>'111 ОМС'!H24+'111 Б'!H24+'111 ВнеБ(дополнит)'!H24+'111 ВнеБ осн.'!H24</f>
        <v>259.39599999999996</v>
      </c>
      <c r="I24" s="156">
        <f>'111 ОМС'!I24+'111 Б'!I24+'111 ВнеБ(дополнит)'!I24+'111 ВнеБ осн.'!I24</f>
        <v>605.755</v>
      </c>
      <c r="J24" s="156">
        <f t="shared" si="2"/>
        <v>7458.215</v>
      </c>
      <c r="K24" s="133">
        <f aca="true" t="shared" si="3" ref="K24:K32">J24/12/C24</f>
        <v>25.89657986111111</v>
      </c>
      <c r="L24" s="130"/>
    </row>
    <row r="25" spans="1:12" ht="18">
      <c r="A25" s="154">
        <f t="shared" si="0"/>
        <v>5</v>
      </c>
      <c r="B25" s="157" t="s">
        <v>288</v>
      </c>
      <c r="C25" s="156">
        <f>'111 ОМС'!C25+'111 Б'!C25+'111 ВнеБ(дополнит)'!C25+'111 ВнеБ осн.'!C25</f>
        <v>0</v>
      </c>
      <c r="D25" s="156">
        <f t="shared" si="1"/>
        <v>0</v>
      </c>
      <c r="E25" s="156">
        <f>'111 ОМС'!E25+'111 Б'!E25+'111 ВнеБ(дополнит)'!E25+'111 ВнеБ осн.'!E25</f>
        <v>0</v>
      </c>
      <c r="F25" s="156">
        <f>'111 ОМС'!F25+'111 Б'!F25+'111 ВнеБ(дополнит)'!F25+'111 ВнеБ осн.'!F25</f>
        <v>0</v>
      </c>
      <c r="G25" s="156">
        <f>'111 ОМС'!G25+'111 Б'!G25+'111 ВнеБ(дополнит)'!G25+'111 ВнеБ осн.'!G25</f>
        <v>0</v>
      </c>
      <c r="H25" s="156">
        <f>'111 ОМС'!H25+'111 Б'!H25+'111 ВнеБ(дополнит)'!H25+'111 ВнеБ осн.'!H25</f>
        <v>0</v>
      </c>
      <c r="I25" s="156">
        <f>'111 ОМС'!I25+'111 Б'!I25+'111 ВнеБ(дополнит)'!I25+'111 ВнеБ осн.'!I25</f>
        <v>0</v>
      </c>
      <c r="J25" s="156">
        <f t="shared" si="2"/>
        <v>0</v>
      </c>
      <c r="K25" s="133">
        <v>0</v>
      </c>
      <c r="L25" s="130"/>
    </row>
    <row r="26" spans="1:12" ht="100.5" customHeight="1">
      <c r="A26" s="154">
        <f t="shared" si="0"/>
        <v>6</v>
      </c>
      <c r="B26" s="157" t="s">
        <v>289</v>
      </c>
      <c r="C26" s="156">
        <f>'111 ОМС'!C26+'111 Б'!C26+'111 ВнеБ(дополнит)'!C26+'111 ВнеБ осн.'!C26</f>
        <v>45</v>
      </c>
      <c r="D26" s="156">
        <f t="shared" si="1"/>
        <v>644.1179999999999</v>
      </c>
      <c r="E26" s="156">
        <f>'111 ОМС'!E26+'111 Б'!E26+'111 ВнеБ(дополнит)'!E26+'111 ВнеБ осн.'!E26</f>
        <v>466.98699999999997</v>
      </c>
      <c r="F26" s="156">
        <f>'111 ОМС'!F26+'111 Б'!F26+'111 ВнеБ(дополнит)'!F26+'111 ВнеБ осн.'!F26</f>
        <v>116.747</v>
      </c>
      <c r="G26" s="156">
        <f>'111 ОМС'!G26+'111 Б'!G26+'111 ВнеБ(дополнит)'!G26+'111 ВнеБ осн.'!G26</f>
        <v>60.384</v>
      </c>
      <c r="H26" s="156">
        <f>'111 ОМС'!H26+'111 Б'!H26+'111 ВнеБ(дополнит)'!H26+'111 ВнеБ осн.'!H26</f>
        <v>380.048</v>
      </c>
      <c r="I26" s="156">
        <f>'111 ОМС'!I26+'111 Б'!I26+'111 ВнеБ(дополнит)'!I26+'111 ВнеБ осн.'!I26</f>
        <v>1357.9830000000002</v>
      </c>
      <c r="J26" s="156">
        <f t="shared" si="2"/>
        <v>9467.447</v>
      </c>
      <c r="K26" s="133">
        <f t="shared" si="3"/>
        <v>17.53230925925926</v>
      </c>
      <c r="L26" s="130"/>
    </row>
    <row r="27" spans="1:12" ht="18">
      <c r="A27" s="154">
        <f t="shared" si="0"/>
        <v>7</v>
      </c>
      <c r="B27" s="157" t="s">
        <v>290</v>
      </c>
      <c r="C27" s="156">
        <f>'111 ОМС'!C27+'111 Б'!C27+'111 ВнеБ(дополнит)'!C27+'111 ВнеБ осн.'!C27</f>
        <v>1</v>
      </c>
      <c r="D27" s="156">
        <f t="shared" si="1"/>
        <v>8.332</v>
      </c>
      <c r="E27" s="156">
        <f>'111 ОМС'!E27+'111 Б'!E27+'111 ВнеБ(дополнит)'!E27+'111 ВнеБ осн.'!E27</f>
        <v>7.245</v>
      </c>
      <c r="F27" s="156">
        <f>'111 ОМС'!F27+'111 Б'!F27+'111 ВнеБ(дополнит)'!F27+'111 ВнеБ осн.'!F27</f>
        <v>0</v>
      </c>
      <c r="G27" s="156">
        <f>'111 ОМС'!G27+'111 Б'!G27+'111 ВнеБ(дополнит)'!G27+'111 ВнеБ осн.'!G27</f>
        <v>1.087</v>
      </c>
      <c r="H27" s="156">
        <f>'111 ОМС'!H27+'111 Б'!H27+'111 ВнеБ(дополнит)'!H27+'111 ВнеБ осн.'!H27</f>
        <v>39.98</v>
      </c>
      <c r="I27" s="156">
        <f>'111 ОМС'!I27+'111 Б'!I27+'111 ВнеБ(дополнит)'!I27+'111 ВнеБ осн.'!I27</f>
        <v>129.08</v>
      </c>
      <c r="J27" s="156">
        <f t="shared" si="2"/>
        <v>269.044</v>
      </c>
      <c r="K27" s="133">
        <f t="shared" si="3"/>
        <v>22.420333333333332</v>
      </c>
      <c r="L27" s="130"/>
    </row>
    <row r="28" spans="1:12" ht="18">
      <c r="A28" s="154">
        <f t="shared" si="0"/>
        <v>8</v>
      </c>
      <c r="B28" s="157" t="s">
        <v>245</v>
      </c>
      <c r="C28" s="156">
        <f>'111 ОМС'!C28+'111 Б'!C28+'111 ВнеБ(дополнит)'!C28+'111 ВнеБ осн.'!C28</f>
        <v>1</v>
      </c>
      <c r="D28" s="156">
        <f t="shared" si="1"/>
        <v>32.549</v>
      </c>
      <c r="E28" s="156">
        <f>'111 ОМС'!E28+'111 Б'!E28+'111 ВнеБ(дополнит)'!E28+'111 ВнеБ осн.'!E28</f>
        <v>26.039</v>
      </c>
      <c r="F28" s="156">
        <f>'111 ОМС'!F28+'111 Б'!F28+'111 ВнеБ(дополнит)'!F28+'111 ВнеБ осн.'!F28</f>
        <v>6.51</v>
      </c>
      <c r="G28" s="156">
        <f>'111 ОМС'!G28+'111 Б'!G28+'111 ВнеБ(дополнит)'!G28+'111 ВнеБ осн.'!G28</f>
        <v>0</v>
      </c>
      <c r="H28" s="156">
        <f>'111 ОМС'!H28+'111 Б'!H28+'111 ВнеБ(дополнит)'!H28+'111 ВнеБ осн.'!H28</f>
        <v>13.775</v>
      </c>
      <c r="I28" s="156">
        <f>'111 ОМС'!I28+'111 Б'!I28+'111 ВнеБ(дополнит)'!I28+'111 ВнеБ осн.'!I28</f>
        <v>100</v>
      </c>
      <c r="J28" s="156">
        <f t="shared" si="2"/>
        <v>504.36299999999994</v>
      </c>
      <c r="K28" s="133">
        <f t="shared" si="3"/>
        <v>42.030249999999995</v>
      </c>
      <c r="L28" s="130"/>
    </row>
    <row r="29" spans="1:12" ht="31.5">
      <c r="A29" s="154">
        <f t="shared" si="0"/>
        <v>9</v>
      </c>
      <c r="B29" s="157" t="s">
        <v>291</v>
      </c>
      <c r="C29" s="156">
        <f>'111 ОМС'!C29+'111 Б'!C29+'111 ВнеБ(дополнит)'!C29+'111 ВнеБ осн.'!C29</f>
        <v>0</v>
      </c>
      <c r="D29" s="156">
        <f t="shared" si="1"/>
        <v>0</v>
      </c>
      <c r="E29" s="156">
        <f>'111 ОМС'!E29+'111 Б'!E29+'111 ВнеБ(дополнит)'!E29+'111 ВнеБ осн.'!E29</f>
        <v>0</v>
      </c>
      <c r="F29" s="156">
        <f>'111 ОМС'!F29+'111 Б'!F29+'111 ВнеБ(дополнит)'!F29+'111 ВнеБ осн.'!F29</f>
        <v>0</v>
      </c>
      <c r="G29" s="156">
        <f>'111 ОМС'!G29+'111 Б'!G29+'111 ВнеБ(дополнит)'!G29+'111 ВнеБ осн.'!G29</f>
        <v>0</v>
      </c>
      <c r="H29" s="156">
        <f>'111 ОМС'!H29+'111 Б'!H29+'111 ВнеБ(дополнит)'!H29+'111 ВнеБ осн.'!H29</f>
        <v>0</v>
      </c>
      <c r="I29" s="156">
        <f>'111 ОМС'!I29+'111 Б'!I29+'111 ВнеБ(дополнит)'!I29+'111 ВнеБ осн.'!I29</f>
        <v>0</v>
      </c>
      <c r="J29" s="156">
        <f t="shared" si="2"/>
        <v>0</v>
      </c>
      <c r="K29" s="133"/>
      <c r="L29" s="130"/>
    </row>
    <row r="30" spans="1:12" ht="18">
      <c r="A30" s="154">
        <f t="shared" si="0"/>
        <v>10</v>
      </c>
      <c r="B30" s="157" t="s">
        <v>292</v>
      </c>
      <c r="C30" s="156">
        <f>'111 ОМС'!C30+'111 Б'!C30+'111 ВнеБ(дополнит)'!C30+'111 ВнеБ осн.'!C30</f>
        <v>0</v>
      </c>
      <c r="D30" s="156">
        <f t="shared" si="1"/>
        <v>0</v>
      </c>
      <c r="E30" s="156">
        <f>'111 ОМС'!E30+'111 Б'!E30+'111 ВнеБ(дополнит)'!E30+'111 ВнеБ осн.'!E30</f>
        <v>0</v>
      </c>
      <c r="F30" s="156">
        <f>'111 ОМС'!F30+'111 Б'!F30+'111 ВнеБ(дополнит)'!F30+'111 ВнеБ осн.'!F30</f>
        <v>0</v>
      </c>
      <c r="G30" s="156">
        <f>'111 ОМС'!G30+'111 Б'!G30+'111 ВнеБ(дополнит)'!G30+'111 ВнеБ осн.'!G30</f>
        <v>0</v>
      </c>
      <c r="H30" s="156">
        <f>'111 ОМС'!H30+'111 Б'!H30+'111 ВнеБ(дополнит)'!H30+'111 ВнеБ осн.'!H30</f>
        <v>0</v>
      </c>
      <c r="I30" s="156">
        <f>'111 ОМС'!I30+'111 Б'!I30+'111 ВнеБ(дополнит)'!I30+'111 ВнеБ осн.'!I30</f>
        <v>0</v>
      </c>
      <c r="J30" s="156">
        <f t="shared" si="2"/>
        <v>0</v>
      </c>
      <c r="K30" s="133"/>
      <c r="L30" s="130"/>
    </row>
    <row r="31" spans="1:12" ht="41.25" customHeight="1">
      <c r="A31" s="154">
        <f t="shared" si="0"/>
        <v>11</v>
      </c>
      <c r="B31" s="157" t="s">
        <v>293</v>
      </c>
      <c r="C31" s="156">
        <f>'111 ОМС'!C31+'111 Б'!C31+'111 ВнеБ(дополнит)'!C31+'111 ВнеБ осн.'!C31</f>
        <v>20.75</v>
      </c>
      <c r="D31" s="156">
        <f t="shared" si="1"/>
        <v>146.272</v>
      </c>
      <c r="E31" s="156">
        <f>'111 ОМС'!E31+'111 Б'!E31+'111 ВнеБ(дополнит)'!E31+'111 ВнеБ осн.'!E31</f>
        <v>122.738</v>
      </c>
      <c r="F31" s="156">
        <f>'111 ОМС'!F31+'111 Б'!F31+'111 ВнеБ(дополнит)'!F31+'111 ВнеБ осн.'!F31</f>
        <v>10.577</v>
      </c>
      <c r="G31" s="156">
        <f>'111 ОМС'!G31+'111 Б'!G31+'111 ВнеБ(дополнит)'!G31+'111 ВнеБ осн.'!G31</f>
        <v>12.957</v>
      </c>
      <c r="H31" s="156">
        <f>'111 ОМС'!H31+'111 Б'!H31+'111 ВнеБ(дополнит)'!H31+'111 ВнеБ осн.'!H31</f>
        <v>344.598</v>
      </c>
      <c r="I31" s="156">
        <f>'111 ОМС'!I31+'111 Б'!I31+'111 ВнеБ(дополнит)'!I31+'111 ВнеБ осн.'!I31</f>
        <v>678.07</v>
      </c>
      <c r="J31" s="156">
        <f>D31*12+H31+I31-0.01</f>
        <v>2777.922</v>
      </c>
      <c r="K31" s="133">
        <f t="shared" si="3"/>
        <v>11.15631325301205</v>
      </c>
      <c r="L31" s="130"/>
    </row>
    <row r="32" spans="1:12" s="136" customFormat="1" ht="18">
      <c r="A32" s="643" t="s">
        <v>145</v>
      </c>
      <c r="B32" s="643"/>
      <c r="C32" s="134">
        <f>SUM(C21:C31)</f>
        <v>92.75</v>
      </c>
      <c r="D32" s="134">
        <f aca="true" t="shared" si="4" ref="D32:J32">SUM(D21:D31)</f>
        <v>1418.986</v>
      </c>
      <c r="E32" s="134">
        <f t="shared" si="4"/>
        <v>1043.315</v>
      </c>
      <c r="F32" s="134">
        <f t="shared" si="4"/>
        <v>252.195</v>
      </c>
      <c r="G32" s="134">
        <f t="shared" si="4"/>
        <v>123.476</v>
      </c>
      <c r="H32" s="134">
        <f t="shared" si="4"/>
        <v>1054.003</v>
      </c>
      <c r="I32" s="134">
        <f t="shared" si="4"/>
        <v>3170.8880000000004</v>
      </c>
      <c r="J32" s="134">
        <f t="shared" si="4"/>
        <v>21252.713</v>
      </c>
      <c r="K32" s="133">
        <f t="shared" si="3"/>
        <v>19.094980233602875</v>
      </c>
      <c r="L32" s="135"/>
    </row>
    <row r="33" spans="1:12" ht="7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ht="15">
      <c r="B34" s="137" t="s">
        <v>295</v>
      </c>
    </row>
    <row r="35" ht="15">
      <c r="B35" s="137" t="s">
        <v>296</v>
      </c>
    </row>
    <row r="36" ht="30.75" customHeight="1"/>
    <row r="37" spans="2:8" s="129" customFormat="1" ht="18">
      <c r="B37" s="129" t="s">
        <v>589</v>
      </c>
      <c r="E37" s="129" t="s">
        <v>399</v>
      </c>
      <c r="H37" s="3" t="s">
        <v>753</v>
      </c>
    </row>
    <row r="38" spans="2:8" s="129" customFormat="1" ht="18">
      <c r="B38" s="137" t="s">
        <v>605</v>
      </c>
      <c r="E38" s="129" t="s">
        <v>400</v>
      </c>
      <c r="H38" s="3" t="s">
        <v>402</v>
      </c>
    </row>
    <row r="39" ht="18">
      <c r="H39" s="3"/>
    </row>
    <row r="40" spans="2:8" s="129" customFormat="1" ht="18">
      <c r="B40" s="129" t="s">
        <v>245</v>
      </c>
      <c r="E40" s="129" t="s">
        <v>395</v>
      </c>
      <c r="H40" s="3" t="s">
        <v>591</v>
      </c>
    </row>
    <row r="41" spans="2:8" s="129" customFormat="1" ht="18">
      <c r="B41" s="137" t="s">
        <v>605</v>
      </c>
      <c r="E41" s="129" t="s">
        <v>400</v>
      </c>
      <c r="H41" s="3" t="s">
        <v>402</v>
      </c>
    </row>
  </sheetData>
  <sheetProtection/>
  <mergeCells count="16">
    <mergeCell ref="I17:I19"/>
    <mergeCell ref="J17:J19"/>
    <mergeCell ref="K17:K19"/>
    <mergeCell ref="D18:D19"/>
    <mergeCell ref="E18:G18"/>
    <mergeCell ref="A32:B32"/>
    <mergeCell ref="A11:J11"/>
    <mergeCell ref="B12:K12"/>
    <mergeCell ref="B13:K13"/>
    <mergeCell ref="B14:K14"/>
    <mergeCell ref="B15:K15"/>
    <mergeCell ref="A17:A19"/>
    <mergeCell ref="B17:B19"/>
    <mergeCell ref="C17:C19"/>
    <mergeCell ref="D17:G17"/>
    <mergeCell ref="H17:H19"/>
  </mergeCells>
  <printOptions/>
  <pageMargins left="0.1968503937007874" right="0.1968503937007874" top="0.7" bottom="0.1968503937007874" header="0.62" footer="0.37"/>
  <pageSetup fitToHeight="2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L28"/>
  <sheetViews>
    <sheetView view="pageBreakPreview" zoomScale="60" zoomScaleNormal="70" zoomScalePageLayoutView="0" workbookViewId="0" topLeftCell="A4">
      <selection activeCell="E25" sqref="E25"/>
    </sheetView>
  </sheetViews>
  <sheetFormatPr defaultColWidth="8.7109375" defaultRowHeight="15"/>
  <cols>
    <col min="1" max="1" width="8.7109375" style="70" customWidth="1"/>
    <col min="2" max="2" width="83.8515625" style="72" customWidth="1"/>
    <col min="3" max="3" width="30.421875" style="71" customWidth="1"/>
    <col min="4" max="4" width="28.00390625" style="71" customWidth="1"/>
    <col min="5" max="5" width="27.57421875" style="71" customWidth="1"/>
    <col min="6" max="6" width="42.421875" style="71" customWidth="1"/>
    <col min="7" max="7" width="8.7109375" style="70" customWidth="1"/>
    <col min="8" max="8" width="31.140625" style="70" customWidth="1"/>
    <col min="9" max="16384" width="8.7109375" style="70" customWidth="1"/>
  </cols>
  <sheetData>
    <row r="1" spans="1:6" ht="27.75">
      <c r="A1" s="3"/>
      <c r="B1" s="99"/>
      <c r="C1" s="405"/>
      <c r="D1" s="405"/>
      <c r="E1" s="405"/>
      <c r="F1" s="11" t="s">
        <v>219</v>
      </c>
    </row>
    <row r="2" spans="1:11" ht="27.75" customHeight="1">
      <c r="A2" s="3"/>
      <c r="B2" s="644" t="s">
        <v>158</v>
      </c>
      <c r="C2" s="644"/>
      <c r="D2" s="644"/>
      <c r="E2" s="644"/>
      <c r="F2" s="644"/>
      <c r="G2" s="97"/>
      <c r="H2" s="97"/>
      <c r="I2" s="97"/>
      <c r="J2" s="97"/>
      <c r="K2" s="97"/>
    </row>
    <row r="3" spans="1:12" ht="27.75" customHeight="1">
      <c r="A3" s="3"/>
      <c r="B3" s="645" t="s">
        <v>733</v>
      </c>
      <c r="C3" s="645"/>
      <c r="D3" s="645"/>
      <c r="E3" s="645"/>
      <c r="F3" s="645"/>
      <c r="G3" s="162"/>
      <c r="H3" s="162"/>
      <c r="I3" s="162"/>
      <c r="J3" s="162"/>
      <c r="K3" s="162"/>
      <c r="L3" s="163"/>
    </row>
    <row r="4" spans="1:11" ht="27.75" customHeight="1">
      <c r="A4" s="3"/>
      <c r="B4" s="646" t="s">
        <v>344</v>
      </c>
      <c r="C4" s="646"/>
      <c r="D4" s="646"/>
      <c r="E4" s="646"/>
      <c r="F4" s="646"/>
      <c r="G4" s="5"/>
      <c r="H4" s="5"/>
      <c r="I4" s="5"/>
      <c r="J4" s="5"/>
      <c r="K4" s="5"/>
    </row>
    <row r="5" spans="1:6" ht="27.75">
      <c r="A5" s="84"/>
      <c r="B5" s="645" t="s">
        <v>729</v>
      </c>
      <c r="C5" s="647"/>
      <c r="D5" s="647"/>
      <c r="E5" s="647"/>
      <c r="F5" s="647"/>
    </row>
    <row r="6" spans="1:6" ht="24.75" customHeight="1">
      <c r="A6" s="84"/>
      <c r="B6" s="648" t="s">
        <v>252</v>
      </c>
      <c r="C6" s="649"/>
      <c r="D6" s="649"/>
      <c r="E6" s="649"/>
      <c r="F6" s="649"/>
    </row>
    <row r="7" spans="1:6" s="73" customFormat="1" ht="27">
      <c r="A7" s="650" t="s">
        <v>157</v>
      </c>
      <c r="B7" s="652" t="s">
        <v>156</v>
      </c>
      <c r="C7" s="654" t="s">
        <v>155</v>
      </c>
      <c r="D7" s="654" t="s">
        <v>154</v>
      </c>
      <c r="E7" s="654" t="s">
        <v>153</v>
      </c>
      <c r="F7" s="158" t="s">
        <v>152</v>
      </c>
    </row>
    <row r="8" spans="1:6" s="73" customFormat="1" ht="39" customHeight="1">
      <c r="A8" s="651"/>
      <c r="B8" s="653"/>
      <c r="C8" s="655"/>
      <c r="D8" s="655"/>
      <c r="E8" s="655"/>
      <c r="F8" s="406" t="s">
        <v>151</v>
      </c>
    </row>
    <row r="9" spans="1:6" ht="20.25" customHeight="1">
      <c r="A9" s="337">
        <v>1</v>
      </c>
      <c r="B9" s="337">
        <v>2</v>
      </c>
      <c r="C9" s="337">
        <v>3</v>
      </c>
      <c r="D9" s="337">
        <v>4</v>
      </c>
      <c r="E9" s="337">
        <v>5</v>
      </c>
      <c r="F9" s="337">
        <v>6</v>
      </c>
    </row>
    <row r="10" spans="1:6" s="73" customFormat="1" ht="36">
      <c r="A10" s="87" t="s">
        <v>441</v>
      </c>
      <c r="B10" s="83" t="s">
        <v>150</v>
      </c>
      <c r="C10" s="91" t="s">
        <v>144</v>
      </c>
      <c r="D10" s="113" t="s">
        <v>144</v>
      </c>
      <c r="E10" s="113" t="s">
        <v>144</v>
      </c>
      <c r="F10" s="118">
        <f>SUM(F12:F15)</f>
        <v>11200</v>
      </c>
    </row>
    <row r="11" spans="1:6" ht="22.5" customHeight="1">
      <c r="A11" s="79"/>
      <c r="B11" s="83" t="s">
        <v>40</v>
      </c>
      <c r="C11" s="91"/>
      <c r="D11" s="113"/>
      <c r="E11" s="113"/>
      <c r="F11" s="118"/>
    </row>
    <row r="12" spans="1:8" ht="36">
      <c r="A12" s="89"/>
      <c r="B12" s="83" t="s">
        <v>148</v>
      </c>
      <c r="C12" s="265">
        <v>100</v>
      </c>
      <c r="D12" s="264">
        <v>7</v>
      </c>
      <c r="E12" s="264">
        <v>16</v>
      </c>
      <c r="F12" s="118">
        <f>C12*D12*E12</f>
        <v>11200</v>
      </c>
      <c r="H12" s="301"/>
    </row>
    <row r="13" spans="1:8" ht="27.75">
      <c r="A13" s="89"/>
      <c r="B13" s="83" t="s">
        <v>147</v>
      </c>
      <c r="C13" s="265">
        <v>0</v>
      </c>
      <c r="D13" s="264">
        <v>0</v>
      </c>
      <c r="E13" s="264">
        <v>0</v>
      </c>
      <c r="F13" s="118">
        <f>C13*D13*E13</f>
        <v>0</v>
      </c>
      <c r="H13" s="301"/>
    </row>
    <row r="14" spans="1:8" ht="27.75">
      <c r="A14" s="89"/>
      <c r="B14" s="83" t="s">
        <v>146</v>
      </c>
      <c r="C14" s="265">
        <v>0</v>
      </c>
      <c r="D14" s="264">
        <v>0</v>
      </c>
      <c r="E14" s="264">
        <v>0</v>
      </c>
      <c r="F14" s="118">
        <f>C14*D14*E14</f>
        <v>0</v>
      </c>
      <c r="H14" s="301"/>
    </row>
    <row r="15" spans="1:6" ht="27.75" hidden="1">
      <c r="A15" s="79"/>
      <c r="B15" s="83"/>
      <c r="C15" s="91"/>
      <c r="D15" s="113"/>
      <c r="E15" s="113"/>
      <c r="F15" s="118">
        <f>D15*E15</f>
        <v>0</v>
      </c>
    </row>
    <row r="16" spans="1:6" s="73" customFormat="1" ht="36">
      <c r="A16" s="87" t="s">
        <v>467</v>
      </c>
      <c r="B16" s="83" t="s">
        <v>149</v>
      </c>
      <c r="C16" s="91" t="s">
        <v>144</v>
      </c>
      <c r="D16" s="113" t="s">
        <v>144</v>
      </c>
      <c r="E16" s="113" t="s">
        <v>144</v>
      </c>
      <c r="F16" s="118">
        <f>SUM(F18:F21)</f>
        <v>0</v>
      </c>
    </row>
    <row r="17" spans="1:6" ht="27.75">
      <c r="A17" s="79"/>
      <c r="B17" s="83" t="s">
        <v>40</v>
      </c>
      <c r="C17" s="91"/>
      <c r="D17" s="113"/>
      <c r="E17" s="113"/>
      <c r="F17" s="118"/>
    </row>
    <row r="18" spans="1:6" ht="36">
      <c r="A18" s="89"/>
      <c r="B18" s="83" t="s">
        <v>148</v>
      </c>
      <c r="C18" s="91"/>
      <c r="D18" s="113"/>
      <c r="E18" s="113"/>
      <c r="F18" s="118">
        <f>D18*E18</f>
        <v>0</v>
      </c>
    </row>
    <row r="19" spans="1:6" ht="27.75">
      <c r="A19" s="89"/>
      <c r="B19" s="83" t="s">
        <v>147</v>
      </c>
      <c r="C19" s="91"/>
      <c r="D19" s="113"/>
      <c r="E19" s="113"/>
      <c r="F19" s="118">
        <f>D19*E19</f>
        <v>0</v>
      </c>
    </row>
    <row r="20" spans="1:6" ht="27.75">
      <c r="A20" s="89"/>
      <c r="B20" s="83" t="s">
        <v>146</v>
      </c>
      <c r="C20" s="91"/>
      <c r="D20" s="113"/>
      <c r="E20" s="113"/>
      <c r="F20" s="118">
        <f>D20*E20</f>
        <v>0</v>
      </c>
    </row>
    <row r="21" spans="1:6" ht="27.75" hidden="1">
      <c r="A21" s="79"/>
      <c r="B21" s="83"/>
      <c r="C21" s="91"/>
      <c r="D21" s="113"/>
      <c r="E21" s="113"/>
      <c r="F21" s="118">
        <f>D21*E21</f>
        <v>0</v>
      </c>
    </row>
    <row r="22" spans="1:6" s="73" customFormat="1" ht="27">
      <c r="A22" s="79"/>
      <c r="B22" s="83" t="s">
        <v>145</v>
      </c>
      <c r="C22" s="91" t="s">
        <v>144</v>
      </c>
      <c r="D22" s="113" t="s">
        <v>144</v>
      </c>
      <c r="E22" s="113" t="s">
        <v>144</v>
      </c>
      <c r="F22" s="118">
        <f>F16+F10</f>
        <v>11200</v>
      </c>
    </row>
    <row r="24" spans="2:5" s="3" customFormat="1" ht="18">
      <c r="B24" s="188" t="s">
        <v>589</v>
      </c>
      <c r="C24" s="187"/>
      <c r="D24" s="199"/>
      <c r="E24" s="3" t="s">
        <v>753</v>
      </c>
    </row>
    <row r="25" spans="2:5" s="3" customFormat="1" ht="16.5" customHeight="1">
      <c r="B25" s="45" t="s">
        <v>606</v>
      </c>
      <c r="C25" s="183"/>
      <c r="D25" s="185"/>
      <c r="E25" s="3" t="s">
        <v>402</v>
      </c>
    </row>
    <row r="26" spans="2:4" s="3" customFormat="1" ht="16.5" customHeight="1">
      <c r="B26" s="183"/>
      <c r="C26" s="183"/>
      <c r="D26" s="183"/>
    </row>
    <row r="27" spans="2:5" s="3" customFormat="1" ht="18">
      <c r="B27" s="183" t="s">
        <v>408</v>
      </c>
      <c r="C27" s="183"/>
      <c r="D27" s="199"/>
      <c r="E27" s="3" t="s">
        <v>591</v>
      </c>
    </row>
    <row r="28" spans="2:5" s="3" customFormat="1" ht="18">
      <c r="B28" s="45" t="s">
        <v>606</v>
      </c>
      <c r="C28" s="183"/>
      <c r="D28" s="185"/>
      <c r="E28" s="3" t="s">
        <v>402</v>
      </c>
    </row>
  </sheetData>
  <sheetProtection/>
  <mergeCells count="10">
    <mergeCell ref="B2:F2"/>
    <mergeCell ref="B3:F3"/>
    <mergeCell ref="B4:F4"/>
    <mergeCell ref="B5:F5"/>
    <mergeCell ref="B6:F6"/>
    <mergeCell ref="A7:A8"/>
    <mergeCell ref="B7:B8"/>
    <mergeCell ref="C7:C8"/>
    <mergeCell ref="D7:D8"/>
    <mergeCell ref="E7:E8"/>
  </mergeCells>
  <printOptions/>
  <pageMargins left="0.38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8"/>
  <sheetViews>
    <sheetView zoomScale="70" zoomScaleNormal="70" zoomScalePageLayoutView="0" workbookViewId="0" topLeftCell="A13">
      <selection activeCell="E25" sqref="E25"/>
    </sheetView>
  </sheetViews>
  <sheetFormatPr defaultColWidth="8.7109375" defaultRowHeight="15"/>
  <cols>
    <col min="1" max="1" width="8.7109375" style="70" customWidth="1"/>
    <col min="2" max="2" width="83.8515625" style="72" customWidth="1"/>
    <col min="3" max="3" width="30.421875" style="71" customWidth="1"/>
    <col min="4" max="4" width="28.00390625" style="71" customWidth="1"/>
    <col min="5" max="5" width="27.57421875" style="71" customWidth="1"/>
    <col min="6" max="6" width="37.00390625" style="71" customWidth="1"/>
    <col min="7" max="7" width="8.7109375" style="70" customWidth="1"/>
    <col min="8" max="8" width="31.140625" style="70" customWidth="1"/>
    <col min="9" max="16384" width="8.7109375" style="70" customWidth="1"/>
  </cols>
  <sheetData>
    <row r="1" spans="1:6" ht="27.75">
      <c r="A1" s="3"/>
      <c r="B1" s="99"/>
      <c r="C1" s="405"/>
      <c r="D1" s="405"/>
      <c r="E1" s="405"/>
      <c r="F1" s="11" t="s">
        <v>219</v>
      </c>
    </row>
    <row r="2" spans="1:11" ht="27.75" customHeight="1">
      <c r="A2" s="3"/>
      <c r="B2" s="644" t="s">
        <v>158</v>
      </c>
      <c r="C2" s="644"/>
      <c r="D2" s="644"/>
      <c r="E2" s="644"/>
      <c r="F2" s="644"/>
      <c r="G2" s="97"/>
      <c r="H2" s="97"/>
      <c r="I2" s="97"/>
      <c r="J2" s="97"/>
      <c r="K2" s="97"/>
    </row>
    <row r="3" spans="1:12" ht="27.75" customHeight="1">
      <c r="A3" s="3"/>
      <c r="B3" s="645" t="s">
        <v>596</v>
      </c>
      <c r="C3" s="645"/>
      <c r="D3" s="645"/>
      <c r="E3" s="645"/>
      <c r="F3" s="645"/>
      <c r="G3" s="162"/>
      <c r="H3" s="162"/>
      <c r="I3" s="162"/>
      <c r="J3" s="162"/>
      <c r="K3" s="162"/>
      <c r="L3" s="163"/>
    </row>
    <row r="4" spans="1:11" ht="27.75" customHeight="1">
      <c r="A4" s="3"/>
      <c r="B4" s="646" t="s">
        <v>344</v>
      </c>
      <c r="C4" s="646"/>
      <c r="D4" s="646"/>
      <c r="E4" s="646"/>
      <c r="F4" s="646"/>
      <c r="G4" s="5"/>
      <c r="H4" s="5"/>
      <c r="I4" s="5"/>
      <c r="J4" s="5"/>
      <c r="K4" s="5"/>
    </row>
    <row r="5" spans="1:6" ht="27.75">
      <c r="A5" s="84"/>
      <c r="B5" s="645" t="s">
        <v>730</v>
      </c>
      <c r="C5" s="647"/>
      <c r="D5" s="647"/>
      <c r="E5" s="647"/>
      <c r="F5" s="647"/>
    </row>
    <row r="6" spans="1:6" ht="24.75" customHeight="1">
      <c r="A6" s="84"/>
      <c r="B6" s="648" t="s">
        <v>252</v>
      </c>
      <c r="C6" s="649"/>
      <c r="D6" s="649"/>
      <c r="E6" s="649"/>
      <c r="F6" s="649"/>
    </row>
    <row r="7" spans="1:6" s="73" customFormat="1" ht="27">
      <c r="A7" s="650" t="s">
        <v>157</v>
      </c>
      <c r="B7" s="652" t="s">
        <v>156</v>
      </c>
      <c r="C7" s="654" t="s">
        <v>155</v>
      </c>
      <c r="D7" s="654" t="s">
        <v>154</v>
      </c>
      <c r="E7" s="654" t="s">
        <v>153</v>
      </c>
      <c r="F7" s="158" t="s">
        <v>152</v>
      </c>
    </row>
    <row r="8" spans="1:6" s="73" customFormat="1" ht="39" customHeight="1">
      <c r="A8" s="651"/>
      <c r="B8" s="653"/>
      <c r="C8" s="655"/>
      <c r="D8" s="655"/>
      <c r="E8" s="655"/>
      <c r="F8" s="406" t="s">
        <v>151</v>
      </c>
    </row>
    <row r="9" spans="1:6" ht="20.25" customHeight="1">
      <c r="A9" s="337">
        <v>1</v>
      </c>
      <c r="B9" s="337">
        <v>2</v>
      </c>
      <c r="C9" s="337">
        <v>3</v>
      </c>
      <c r="D9" s="337">
        <v>4</v>
      </c>
      <c r="E9" s="337">
        <v>5</v>
      </c>
      <c r="F9" s="337">
        <v>6</v>
      </c>
    </row>
    <row r="10" spans="1:6" s="73" customFormat="1" ht="36">
      <c r="A10" s="87" t="s">
        <v>441</v>
      </c>
      <c r="B10" s="83" t="s">
        <v>150</v>
      </c>
      <c r="C10" s="91" t="s">
        <v>144</v>
      </c>
      <c r="D10" s="113" t="s">
        <v>144</v>
      </c>
      <c r="E10" s="113" t="s">
        <v>144</v>
      </c>
      <c r="F10" s="118">
        <f>SUM(F12:F15)</f>
        <v>0</v>
      </c>
    </row>
    <row r="11" spans="1:6" ht="22.5" customHeight="1">
      <c r="A11" s="79"/>
      <c r="B11" s="83" t="s">
        <v>40</v>
      </c>
      <c r="C11" s="91"/>
      <c r="D11" s="113"/>
      <c r="E11" s="113"/>
      <c r="F11" s="118"/>
    </row>
    <row r="12" spans="1:8" ht="36">
      <c r="A12" s="89"/>
      <c r="B12" s="83" t="s">
        <v>148</v>
      </c>
      <c r="C12" s="265">
        <f>0/3/27</f>
        <v>0</v>
      </c>
      <c r="D12" s="264">
        <v>0</v>
      </c>
      <c r="E12" s="264">
        <v>0</v>
      </c>
      <c r="F12" s="118">
        <f>C12*D12*E12</f>
        <v>0</v>
      </c>
      <c r="H12" s="301"/>
    </row>
    <row r="13" spans="1:8" ht="27.75">
      <c r="A13" s="89"/>
      <c r="B13" s="83" t="s">
        <v>147</v>
      </c>
      <c r="C13" s="265">
        <v>0</v>
      </c>
      <c r="D13" s="264">
        <v>0</v>
      </c>
      <c r="E13" s="264">
        <v>0</v>
      </c>
      <c r="F13" s="118">
        <f>C13*D13*E13</f>
        <v>0</v>
      </c>
      <c r="H13" s="301"/>
    </row>
    <row r="14" spans="1:8" ht="27.75">
      <c r="A14" s="89"/>
      <c r="B14" s="83" t="s">
        <v>146</v>
      </c>
      <c r="C14" s="265">
        <v>0</v>
      </c>
      <c r="D14" s="264">
        <v>0</v>
      </c>
      <c r="E14" s="264">
        <v>0</v>
      </c>
      <c r="F14" s="118">
        <f>C14*D14*E14</f>
        <v>0</v>
      </c>
      <c r="H14" s="301"/>
    </row>
    <row r="15" spans="1:6" ht="27.75" hidden="1">
      <c r="A15" s="79"/>
      <c r="B15" s="83"/>
      <c r="C15" s="91"/>
      <c r="D15" s="113"/>
      <c r="E15" s="113"/>
      <c r="F15" s="118">
        <f>D15*E15</f>
        <v>0</v>
      </c>
    </row>
    <row r="16" spans="1:6" s="73" customFormat="1" ht="36">
      <c r="A16" s="87" t="s">
        <v>467</v>
      </c>
      <c r="B16" s="83" t="s">
        <v>149</v>
      </c>
      <c r="C16" s="91" t="s">
        <v>144</v>
      </c>
      <c r="D16" s="113" t="s">
        <v>144</v>
      </c>
      <c r="E16" s="113" t="s">
        <v>144</v>
      </c>
      <c r="F16" s="118">
        <f>SUM(F18:F21)</f>
        <v>0</v>
      </c>
    </row>
    <row r="17" spans="1:6" ht="27.75">
      <c r="A17" s="79"/>
      <c r="B17" s="83" t="s">
        <v>40</v>
      </c>
      <c r="C17" s="91"/>
      <c r="D17" s="113"/>
      <c r="E17" s="113"/>
      <c r="F17" s="118"/>
    </row>
    <row r="18" spans="1:6" ht="36">
      <c r="A18" s="89"/>
      <c r="B18" s="83" t="s">
        <v>148</v>
      </c>
      <c r="C18" s="91"/>
      <c r="D18" s="113"/>
      <c r="E18" s="113"/>
      <c r="F18" s="118">
        <f>D18*E18</f>
        <v>0</v>
      </c>
    </row>
    <row r="19" spans="1:6" ht="27.75">
      <c r="A19" s="89"/>
      <c r="B19" s="83" t="s">
        <v>147</v>
      </c>
      <c r="C19" s="91"/>
      <c r="D19" s="113"/>
      <c r="E19" s="113"/>
      <c r="F19" s="118">
        <f>D19*E19</f>
        <v>0</v>
      </c>
    </row>
    <row r="20" spans="1:6" ht="27.75">
      <c r="A20" s="89"/>
      <c r="B20" s="83" t="s">
        <v>146</v>
      </c>
      <c r="C20" s="91"/>
      <c r="D20" s="113"/>
      <c r="E20" s="113"/>
      <c r="F20" s="118">
        <f>D20*E20</f>
        <v>0</v>
      </c>
    </row>
    <row r="21" spans="1:6" ht="27.75" hidden="1">
      <c r="A21" s="79"/>
      <c r="B21" s="83"/>
      <c r="C21" s="91"/>
      <c r="D21" s="113"/>
      <c r="E21" s="113"/>
      <c r="F21" s="118">
        <f>D21*E21</f>
        <v>0</v>
      </c>
    </row>
    <row r="22" spans="1:6" s="73" customFormat="1" ht="27">
      <c r="A22" s="79"/>
      <c r="B22" s="83" t="s">
        <v>145</v>
      </c>
      <c r="C22" s="91" t="s">
        <v>144</v>
      </c>
      <c r="D22" s="113" t="s">
        <v>144</v>
      </c>
      <c r="E22" s="113" t="s">
        <v>144</v>
      </c>
      <c r="F22" s="118">
        <f>F16+F10</f>
        <v>0</v>
      </c>
    </row>
    <row r="24" spans="2:5" s="3" customFormat="1" ht="18">
      <c r="B24" s="188" t="s">
        <v>589</v>
      </c>
      <c r="C24" s="187"/>
      <c r="D24" s="199"/>
      <c r="E24" s="3" t="s">
        <v>753</v>
      </c>
    </row>
    <row r="25" spans="2:5" s="3" customFormat="1" ht="16.5" customHeight="1">
      <c r="B25" s="45" t="s">
        <v>606</v>
      </c>
      <c r="C25" s="183"/>
      <c r="D25" s="185"/>
      <c r="E25" s="3" t="s">
        <v>402</v>
      </c>
    </row>
    <row r="26" spans="2:4" s="3" customFormat="1" ht="16.5" customHeight="1">
      <c r="B26" s="183"/>
      <c r="C26" s="183"/>
      <c r="D26" s="183"/>
    </row>
    <row r="27" spans="2:5" s="3" customFormat="1" ht="18">
      <c r="B27" s="183" t="s">
        <v>408</v>
      </c>
      <c r="C27" s="183"/>
      <c r="D27" s="199"/>
      <c r="E27" s="3" t="s">
        <v>591</v>
      </c>
    </row>
    <row r="28" spans="2:5" s="3" customFormat="1" ht="18">
      <c r="B28" s="45" t="s">
        <v>606</v>
      </c>
      <c r="C28" s="183"/>
      <c r="D28" s="185"/>
      <c r="E28" s="3" t="s">
        <v>402</v>
      </c>
    </row>
  </sheetData>
  <sheetProtection/>
  <mergeCells count="10">
    <mergeCell ref="B2:F2"/>
    <mergeCell ref="B3:F3"/>
    <mergeCell ref="B4:F4"/>
    <mergeCell ref="B5:F5"/>
    <mergeCell ref="B6:F6"/>
    <mergeCell ref="A7:A8"/>
    <mergeCell ref="B7:B8"/>
    <mergeCell ref="C7:C8"/>
    <mergeCell ref="D7:D8"/>
    <mergeCell ref="E7:E8"/>
  </mergeCells>
  <printOptions/>
  <pageMargins left="0.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P41"/>
  <sheetViews>
    <sheetView view="pageBreakPreview" zoomScale="60" workbookViewId="0" topLeftCell="B25">
      <selection activeCell="E38" sqref="E38"/>
    </sheetView>
  </sheetViews>
  <sheetFormatPr defaultColWidth="9.140625" defaultRowHeight="15"/>
  <cols>
    <col min="1" max="1" width="5.00390625" style="131" customWidth="1"/>
    <col min="2" max="2" width="33.00390625" style="131" customWidth="1"/>
    <col min="3" max="3" width="14.00390625" style="131" customWidth="1"/>
    <col min="4" max="7" width="13.28125" style="131" customWidth="1"/>
    <col min="8" max="8" width="13.7109375" style="131" customWidth="1"/>
    <col min="9" max="9" width="14.421875" style="131" customWidth="1"/>
    <col min="10" max="10" width="18.421875" style="131" customWidth="1"/>
    <col min="11" max="11" width="13.28125" style="131" customWidth="1"/>
    <col min="12" max="12" width="9.140625" style="131" customWidth="1"/>
    <col min="13" max="13" width="26.140625" style="131" customWidth="1"/>
    <col min="14" max="14" width="17.57421875" style="131" customWidth="1"/>
    <col min="15" max="15" width="36.140625" style="131" customWidth="1"/>
    <col min="16" max="16" width="16.7109375" style="131" customWidth="1"/>
    <col min="17" max="16384" width="9.140625" style="131" customWidth="1"/>
  </cols>
  <sheetData>
    <row r="1" spans="1:11" s="70" customFormat="1" ht="16.5" customHeight="1">
      <c r="A1" s="3"/>
      <c r="B1" s="99"/>
      <c r="C1" s="230"/>
      <c r="D1" s="230"/>
      <c r="E1" s="230"/>
      <c r="K1" s="11" t="s">
        <v>159</v>
      </c>
    </row>
    <row r="2" spans="1:11" s="70" customFormat="1" ht="18.75" customHeight="1">
      <c r="A2" s="3"/>
      <c r="B2" s="99"/>
      <c r="C2" s="230"/>
      <c r="D2" s="230"/>
      <c r="E2" s="230"/>
      <c r="K2" s="9" t="s">
        <v>31</v>
      </c>
    </row>
    <row r="3" spans="1:11" s="70" customFormat="1" ht="18.75" customHeight="1">
      <c r="A3" s="3"/>
      <c r="B3" s="99"/>
      <c r="C3" s="230"/>
      <c r="D3" s="230"/>
      <c r="E3" s="230"/>
      <c r="K3" s="9" t="s">
        <v>32</v>
      </c>
    </row>
    <row r="4" spans="1:11" s="70" customFormat="1" ht="18.75" customHeight="1">
      <c r="A4" s="3"/>
      <c r="B4" s="99"/>
      <c r="C4" s="230"/>
      <c r="D4" s="230"/>
      <c r="E4" s="230"/>
      <c r="K4" s="9" t="s">
        <v>14</v>
      </c>
    </row>
    <row r="5" spans="1:11" s="70" customFormat="1" ht="18.75" customHeight="1">
      <c r="A5" s="3"/>
      <c r="B5" s="99"/>
      <c r="C5" s="230"/>
      <c r="D5" s="230"/>
      <c r="E5" s="230"/>
      <c r="K5" s="9" t="s">
        <v>15</v>
      </c>
    </row>
    <row r="6" spans="1:11" s="70" customFormat="1" ht="18.75" customHeight="1">
      <c r="A6" s="3"/>
      <c r="B6" s="99"/>
      <c r="C6" s="230"/>
      <c r="D6" s="230"/>
      <c r="E6" s="230"/>
      <c r="K6" s="9" t="s">
        <v>16</v>
      </c>
    </row>
    <row r="7" spans="1:11" s="70" customFormat="1" ht="18.75" customHeight="1">
      <c r="A7" s="3"/>
      <c r="B7" s="99"/>
      <c r="C7" s="230"/>
      <c r="D7" s="230"/>
      <c r="E7" s="230"/>
      <c r="K7" s="231" t="s">
        <v>17</v>
      </c>
    </row>
    <row r="8" spans="1:12" s="70" customFormat="1" ht="14.25" customHeight="1">
      <c r="A8" s="3"/>
      <c r="B8" s="99"/>
      <c r="C8" s="230"/>
      <c r="D8" s="230"/>
      <c r="E8" s="230"/>
      <c r="F8" s="230"/>
      <c r="L8" s="74"/>
    </row>
    <row r="9" spans="1:12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1" t="s">
        <v>302</v>
      </c>
      <c r="L9" s="130"/>
    </row>
    <row r="10" spans="1:12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28.5" customHeight="1">
      <c r="A11" s="630" t="s">
        <v>303</v>
      </c>
      <c r="B11" s="631"/>
      <c r="C11" s="631"/>
      <c r="D11" s="631"/>
      <c r="E11" s="631"/>
      <c r="F11" s="631"/>
      <c r="G11" s="631"/>
      <c r="H11" s="631"/>
      <c r="I11" s="631"/>
      <c r="J11" s="631"/>
      <c r="K11" s="129"/>
      <c r="L11" s="130"/>
    </row>
    <row r="12" spans="1:12" ht="28.5" customHeight="1">
      <c r="A12" s="146"/>
      <c r="B12" s="645" t="s">
        <v>732</v>
      </c>
      <c r="C12" s="645"/>
      <c r="D12" s="645"/>
      <c r="E12" s="645"/>
      <c r="F12" s="645"/>
      <c r="G12" s="645"/>
      <c r="H12" s="645"/>
      <c r="I12" s="645"/>
      <c r="J12" s="645"/>
      <c r="K12" s="645"/>
      <c r="L12" s="130"/>
    </row>
    <row r="13" spans="1:12" ht="21.75" customHeight="1">
      <c r="A13" s="146"/>
      <c r="B13" s="646" t="s">
        <v>346</v>
      </c>
      <c r="C13" s="646"/>
      <c r="D13" s="646"/>
      <c r="E13" s="646"/>
      <c r="F13" s="646"/>
      <c r="G13" s="646"/>
      <c r="H13" s="646"/>
      <c r="I13" s="646"/>
      <c r="J13" s="646"/>
      <c r="K13" s="646"/>
      <c r="L13" s="130"/>
    </row>
    <row r="14" spans="1:11" s="243" customFormat="1" ht="46.5" customHeight="1">
      <c r="A14" s="84"/>
      <c r="B14" s="645" t="s">
        <v>751</v>
      </c>
      <c r="C14" s="645"/>
      <c r="D14" s="645"/>
      <c r="E14" s="645"/>
      <c r="F14" s="645"/>
      <c r="G14" s="645"/>
      <c r="H14" s="645"/>
      <c r="I14" s="645"/>
      <c r="J14" s="645"/>
      <c r="K14" s="645"/>
    </row>
    <row r="15" spans="1:11" s="70" customFormat="1" ht="24.75" customHeight="1">
      <c r="A15" s="84"/>
      <c r="B15" s="646" t="s">
        <v>252</v>
      </c>
      <c r="C15" s="646"/>
      <c r="D15" s="646"/>
      <c r="E15" s="646"/>
      <c r="F15" s="646"/>
      <c r="G15" s="646"/>
      <c r="H15" s="646"/>
      <c r="I15" s="646"/>
      <c r="J15" s="646"/>
      <c r="K15" s="646"/>
    </row>
    <row r="16" spans="1:12" ht="6.75" customHeight="1">
      <c r="A16" s="132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31.5" customHeight="1">
      <c r="A17" s="634" t="s">
        <v>157</v>
      </c>
      <c r="B17" s="634" t="s">
        <v>279</v>
      </c>
      <c r="C17" s="634" t="s">
        <v>280</v>
      </c>
      <c r="D17" s="636" t="s">
        <v>281</v>
      </c>
      <c r="E17" s="637"/>
      <c r="F17" s="637"/>
      <c r="G17" s="638"/>
      <c r="H17" s="634" t="s">
        <v>298</v>
      </c>
      <c r="I17" s="634" t="s">
        <v>297</v>
      </c>
      <c r="J17" s="639" t="s">
        <v>299</v>
      </c>
      <c r="K17" s="641" t="s">
        <v>294</v>
      </c>
      <c r="L17" s="130"/>
    </row>
    <row r="18" spans="1:12" ht="17.25">
      <c r="A18" s="635"/>
      <c r="B18" s="635"/>
      <c r="C18" s="635"/>
      <c r="D18" s="634" t="s">
        <v>95</v>
      </c>
      <c r="E18" s="636" t="s">
        <v>301</v>
      </c>
      <c r="F18" s="637"/>
      <c r="G18" s="638"/>
      <c r="H18" s="635"/>
      <c r="I18" s="635"/>
      <c r="J18" s="640"/>
      <c r="K18" s="642"/>
      <c r="L18" s="130"/>
    </row>
    <row r="19" spans="1:12" ht="73.5" customHeight="1">
      <c r="A19" s="635"/>
      <c r="B19" s="635"/>
      <c r="C19" s="635"/>
      <c r="D19" s="635"/>
      <c r="E19" s="147" t="s">
        <v>282</v>
      </c>
      <c r="F19" s="147" t="s">
        <v>283</v>
      </c>
      <c r="G19" s="147" t="s">
        <v>284</v>
      </c>
      <c r="H19" s="635"/>
      <c r="I19" s="635"/>
      <c r="J19" s="640"/>
      <c r="K19" s="642"/>
      <c r="L19" s="130"/>
    </row>
    <row r="20" spans="1:11" s="139" customFormat="1" ht="39" customHeight="1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 t="s">
        <v>300</v>
      </c>
      <c r="K20" s="138">
        <v>11</v>
      </c>
    </row>
    <row r="21" spans="1:12" ht="18">
      <c r="A21" s="154">
        <v>1</v>
      </c>
      <c r="B21" s="155" t="s">
        <v>285</v>
      </c>
      <c r="C21" s="156"/>
      <c r="D21" s="156">
        <f>E21+F21+G21</f>
        <v>0</v>
      </c>
      <c r="E21" s="156"/>
      <c r="F21" s="156"/>
      <c r="G21" s="156"/>
      <c r="H21" s="156"/>
      <c r="I21" s="156"/>
      <c r="J21" s="245">
        <f>D21*12+H21+I21</f>
        <v>0</v>
      </c>
      <c r="K21" s="133"/>
      <c r="L21" s="130"/>
    </row>
    <row r="22" spans="1:12" ht="31.5">
      <c r="A22" s="154">
        <f aca="true" t="shared" si="0" ref="A22:A31">A21+1</f>
        <v>2</v>
      </c>
      <c r="B22" s="155" t="s">
        <v>286</v>
      </c>
      <c r="C22" s="156"/>
      <c r="D22" s="156">
        <f aca="true" t="shared" si="1" ref="D22:D31">E22+F22+G22</f>
        <v>0</v>
      </c>
      <c r="E22" s="156"/>
      <c r="F22" s="156"/>
      <c r="G22" s="156"/>
      <c r="H22" s="156"/>
      <c r="I22" s="156"/>
      <c r="J22" s="245">
        <f aca="true" t="shared" si="2" ref="J22:J31">D22*12+H22+I22</f>
        <v>0</v>
      </c>
      <c r="K22" s="133"/>
      <c r="L22" s="130"/>
    </row>
    <row r="23" spans="1:12" ht="31.5">
      <c r="A23" s="154">
        <f t="shared" si="0"/>
        <v>3</v>
      </c>
      <c r="B23" s="155" t="s">
        <v>287</v>
      </c>
      <c r="C23" s="156"/>
      <c r="D23" s="156">
        <f t="shared" si="1"/>
        <v>0</v>
      </c>
      <c r="E23" s="156"/>
      <c r="F23" s="156"/>
      <c r="G23" s="156"/>
      <c r="H23" s="156"/>
      <c r="I23" s="156"/>
      <c r="J23" s="245">
        <f t="shared" si="2"/>
        <v>0</v>
      </c>
      <c r="K23" s="133"/>
      <c r="L23" s="130"/>
    </row>
    <row r="24" spans="1:16" ht="87" customHeight="1">
      <c r="A24" s="154">
        <f t="shared" si="0"/>
        <v>4</v>
      </c>
      <c r="B24" s="157" t="s">
        <v>343</v>
      </c>
      <c r="C24" s="156">
        <v>1.5</v>
      </c>
      <c r="D24" s="245">
        <f t="shared" si="1"/>
        <v>30.442</v>
      </c>
      <c r="E24" s="156">
        <v>22.14</v>
      </c>
      <c r="F24" s="156">
        <v>5.535</v>
      </c>
      <c r="G24" s="156">
        <v>2.767</v>
      </c>
      <c r="H24" s="156">
        <v>14.546</v>
      </c>
      <c r="I24" s="156">
        <v>56.325</v>
      </c>
      <c r="J24" s="156">
        <f t="shared" si="2"/>
        <v>436.17499999999995</v>
      </c>
      <c r="K24" s="133">
        <f>J24/12/C24</f>
        <v>24.23194444444444</v>
      </c>
      <c r="L24" s="130"/>
      <c r="M24" s="255"/>
      <c r="P24" s="253"/>
    </row>
    <row r="25" spans="1:12" ht="18">
      <c r="A25" s="154">
        <f t="shared" si="0"/>
        <v>5</v>
      </c>
      <c r="B25" s="157" t="s">
        <v>288</v>
      </c>
      <c r="C25" s="156"/>
      <c r="D25" s="156">
        <f t="shared" si="1"/>
        <v>0</v>
      </c>
      <c r="E25" s="156"/>
      <c r="F25" s="156"/>
      <c r="G25" s="156"/>
      <c r="H25" s="156"/>
      <c r="I25" s="156"/>
      <c r="J25" s="245">
        <f t="shared" si="2"/>
        <v>0</v>
      </c>
      <c r="K25" s="133"/>
      <c r="L25" s="130"/>
    </row>
    <row r="26" spans="1:16" ht="100.5" customHeight="1">
      <c r="A26" s="154">
        <f t="shared" si="0"/>
        <v>6</v>
      </c>
      <c r="B26" s="157" t="s">
        <v>289</v>
      </c>
      <c r="C26" s="156">
        <v>4.5</v>
      </c>
      <c r="D26" s="245">
        <f t="shared" si="1"/>
        <v>65</v>
      </c>
      <c r="E26" s="156">
        <v>46.595</v>
      </c>
      <c r="F26" s="156">
        <v>11.649</v>
      </c>
      <c r="G26" s="156">
        <v>6.756</v>
      </c>
      <c r="H26" s="156">
        <v>20.705</v>
      </c>
      <c r="I26" s="156">
        <v>120.263</v>
      </c>
      <c r="J26" s="156">
        <f t="shared" si="2"/>
        <v>920.9680000000001</v>
      </c>
      <c r="K26" s="133">
        <f>J26/12/C26</f>
        <v>17.054962962962964</v>
      </c>
      <c r="L26" s="130"/>
      <c r="M26" s="255"/>
      <c r="P26" s="253"/>
    </row>
    <row r="27" spans="1:16" ht="18">
      <c r="A27" s="154">
        <f t="shared" si="0"/>
        <v>7</v>
      </c>
      <c r="B27" s="157" t="s">
        <v>290</v>
      </c>
      <c r="C27" s="156"/>
      <c r="D27" s="245">
        <f t="shared" si="1"/>
        <v>0</v>
      </c>
      <c r="E27" s="156"/>
      <c r="F27" s="156"/>
      <c r="G27" s="156"/>
      <c r="H27" s="156"/>
      <c r="I27" s="156"/>
      <c r="J27" s="245">
        <f t="shared" si="2"/>
        <v>0</v>
      </c>
      <c r="K27" s="133"/>
      <c r="L27" s="130"/>
      <c r="M27" s="255"/>
      <c r="O27" s="256"/>
      <c r="P27" s="253"/>
    </row>
    <row r="28" spans="1:12" ht="18">
      <c r="A28" s="154">
        <f t="shared" si="0"/>
        <v>8</v>
      </c>
      <c r="B28" s="157" t="s">
        <v>245</v>
      </c>
      <c r="C28" s="156"/>
      <c r="D28" s="156">
        <f t="shared" si="1"/>
        <v>0</v>
      </c>
      <c r="E28" s="156"/>
      <c r="F28" s="156"/>
      <c r="G28" s="156"/>
      <c r="H28" s="156"/>
      <c r="I28" s="156"/>
      <c r="J28" s="245">
        <f t="shared" si="2"/>
        <v>0</v>
      </c>
      <c r="K28" s="133"/>
      <c r="L28" s="130"/>
    </row>
    <row r="29" spans="1:12" ht="31.5">
      <c r="A29" s="154">
        <f t="shared" si="0"/>
        <v>9</v>
      </c>
      <c r="B29" s="157" t="s">
        <v>291</v>
      </c>
      <c r="C29" s="156"/>
      <c r="D29" s="156">
        <f t="shared" si="1"/>
        <v>0</v>
      </c>
      <c r="E29" s="156"/>
      <c r="F29" s="156"/>
      <c r="G29" s="156"/>
      <c r="H29" s="156"/>
      <c r="I29" s="156"/>
      <c r="J29" s="245">
        <f t="shared" si="2"/>
        <v>0</v>
      </c>
      <c r="K29" s="133"/>
      <c r="L29" s="130"/>
    </row>
    <row r="30" spans="1:12" ht="18">
      <c r="A30" s="154">
        <f t="shared" si="0"/>
        <v>10</v>
      </c>
      <c r="B30" s="157" t="s">
        <v>292</v>
      </c>
      <c r="C30" s="156"/>
      <c r="D30" s="156">
        <f t="shared" si="1"/>
        <v>0</v>
      </c>
      <c r="E30" s="156"/>
      <c r="F30" s="156"/>
      <c r="G30" s="156"/>
      <c r="H30" s="156"/>
      <c r="I30" s="156"/>
      <c r="J30" s="245">
        <f t="shared" si="2"/>
        <v>0</v>
      </c>
      <c r="K30" s="133"/>
      <c r="L30" s="130"/>
    </row>
    <row r="31" spans="1:12" ht="41.25" customHeight="1">
      <c r="A31" s="154">
        <f t="shared" si="0"/>
        <v>11</v>
      </c>
      <c r="B31" s="157" t="s">
        <v>293</v>
      </c>
      <c r="C31" s="156"/>
      <c r="D31" s="156">
        <f t="shared" si="1"/>
        <v>0</v>
      </c>
      <c r="E31" s="156"/>
      <c r="F31" s="156">
        <v>0</v>
      </c>
      <c r="G31" s="156"/>
      <c r="H31" s="411"/>
      <c r="I31" s="156"/>
      <c r="J31" s="156">
        <f t="shared" si="2"/>
        <v>0</v>
      </c>
      <c r="K31" s="133"/>
      <c r="L31" s="130"/>
    </row>
    <row r="32" spans="1:15" s="136" customFormat="1" ht="18">
      <c r="A32" s="643" t="s">
        <v>145</v>
      </c>
      <c r="B32" s="643"/>
      <c r="C32" s="134">
        <f>SUM(C21:C31)</f>
        <v>6</v>
      </c>
      <c r="D32" s="134">
        <f aca="true" t="shared" si="3" ref="D32:J32">SUM(D21:D31)</f>
        <v>95.44200000000001</v>
      </c>
      <c r="E32" s="134">
        <f t="shared" si="3"/>
        <v>68.735</v>
      </c>
      <c r="F32" s="134">
        <f t="shared" si="3"/>
        <v>17.183999999999997</v>
      </c>
      <c r="G32" s="134">
        <f t="shared" si="3"/>
        <v>9.523</v>
      </c>
      <c r="H32" s="134">
        <f t="shared" si="3"/>
        <v>35.251</v>
      </c>
      <c r="I32" s="134">
        <f t="shared" si="3"/>
        <v>176.58800000000002</v>
      </c>
      <c r="J32" s="447">
        <f t="shared" si="3"/>
        <v>1357.143</v>
      </c>
      <c r="K32" s="133">
        <f>J32/12/C32</f>
        <v>18.849208333333333</v>
      </c>
      <c r="L32" s="135"/>
      <c r="M32" s="255"/>
      <c r="N32" s="255"/>
      <c r="O32" s="135"/>
    </row>
    <row r="33" spans="1:12" ht="7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ht="15">
      <c r="B34" s="137" t="s">
        <v>295</v>
      </c>
    </row>
    <row r="35" ht="15">
      <c r="B35" s="137" t="s">
        <v>296</v>
      </c>
    </row>
    <row r="36" ht="30.75" customHeight="1"/>
    <row r="37" spans="2:8" s="129" customFormat="1" ht="18">
      <c r="B37" s="129" t="s">
        <v>589</v>
      </c>
      <c r="E37" s="129" t="s">
        <v>753</v>
      </c>
      <c r="H37" s="3"/>
    </row>
    <row r="38" spans="2:8" s="129" customFormat="1" ht="18">
      <c r="B38" s="137" t="s">
        <v>606</v>
      </c>
      <c r="E38" s="129" t="s">
        <v>402</v>
      </c>
      <c r="H38" s="3"/>
    </row>
    <row r="39" ht="18">
      <c r="H39" s="3"/>
    </row>
    <row r="40" spans="2:8" s="129" customFormat="1" ht="18">
      <c r="B40" s="129" t="s">
        <v>408</v>
      </c>
      <c r="E40" s="129" t="s">
        <v>591</v>
      </c>
      <c r="H40" s="3"/>
    </row>
    <row r="41" spans="2:8" s="129" customFormat="1" ht="18">
      <c r="B41" s="137" t="s">
        <v>606</v>
      </c>
      <c r="E41" s="129" t="s">
        <v>402</v>
      </c>
      <c r="H41" s="3"/>
    </row>
  </sheetData>
  <sheetProtection/>
  <mergeCells count="16">
    <mergeCell ref="A11:J11"/>
    <mergeCell ref="B12:K12"/>
    <mergeCell ref="B13:K13"/>
    <mergeCell ref="B14:K14"/>
    <mergeCell ref="B15:K15"/>
    <mergeCell ref="A17:A19"/>
    <mergeCell ref="B17:B19"/>
    <mergeCell ref="C17:C19"/>
    <mergeCell ref="D17:G17"/>
    <mergeCell ref="H17:H19"/>
    <mergeCell ref="I17:I19"/>
    <mergeCell ref="J17:J19"/>
    <mergeCell ref="K17:K19"/>
    <mergeCell ref="D18:D19"/>
    <mergeCell ref="E18:G18"/>
    <mergeCell ref="A32:B32"/>
  </mergeCells>
  <printOptions/>
  <pageMargins left="0.1968503937007874" right="0.1968503937007874" top="0.7" bottom="0.1968503937007874" header="0.62" footer="0.37"/>
  <pageSetup fitToHeight="2" horizontalDpi="600" verticalDpi="600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1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5"/>
  <cols>
    <col min="1" max="1" width="8.140625" style="0" customWidth="1"/>
    <col min="2" max="2" width="64.57421875" style="0" customWidth="1"/>
    <col min="3" max="3" width="17.140625" style="0" customWidth="1"/>
    <col min="4" max="4" width="23.28125" style="0" customWidth="1"/>
    <col min="5" max="5" width="24.140625" style="0" customWidth="1"/>
    <col min="6" max="6" width="21.7109375" style="0" customWidth="1"/>
  </cols>
  <sheetData>
    <row r="1" spans="1:6" ht="18">
      <c r="A1" s="3"/>
      <c r="B1" s="3"/>
      <c r="C1" s="3"/>
      <c r="D1" s="3"/>
      <c r="E1" s="11"/>
      <c r="F1" s="11" t="s">
        <v>248</v>
      </c>
    </row>
    <row r="2" spans="1:6" ht="18">
      <c r="A2" s="3"/>
      <c r="B2" s="3"/>
      <c r="C2" s="3"/>
      <c r="D2" s="3"/>
      <c r="E2" s="9"/>
      <c r="F2" s="9"/>
    </row>
    <row r="3" spans="1:6" ht="17.25">
      <c r="A3" s="656" t="s">
        <v>424</v>
      </c>
      <c r="B3" s="657"/>
      <c r="C3" s="657"/>
      <c r="D3" s="657"/>
      <c r="E3" s="657"/>
      <c r="F3" s="657"/>
    </row>
    <row r="4" spans="1:6" ht="17.25" customHeight="1">
      <c r="A4" s="375"/>
      <c r="B4" s="658" t="s">
        <v>607</v>
      </c>
      <c r="C4" s="658"/>
      <c r="D4" s="658"/>
      <c r="E4" s="658"/>
      <c r="F4" s="658"/>
    </row>
    <row r="5" spans="1:6" ht="17.25">
      <c r="A5" s="375"/>
      <c r="B5" s="646" t="s">
        <v>344</v>
      </c>
      <c r="C5" s="646"/>
      <c r="D5" s="646"/>
      <c r="E5" s="646"/>
      <c r="F5" s="377"/>
    </row>
    <row r="6" spans="1:11" ht="36" customHeight="1">
      <c r="A6" s="84"/>
      <c r="B6" s="645" t="s">
        <v>752</v>
      </c>
      <c r="C6" s="645"/>
      <c r="D6" s="645"/>
      <c r="E6" s="645"/>
      <c r="F6" s="645"/>
      <c r="G6" s="645"/>
      <c r="H6" s="645"/>
      <c r="I6" s="645"/>
      <c r="J6" s="645"/>
      <c r="K6" s="645"/>
    </row>
    <row r="7" spans="1:6" ht="27.75">
      <c r="A7" s="84"/>
      <c r="B7" s="633" t="s">
        <v>252</v>
      </c>
      <c r="C7" s="633"/>
      <c r="D7" s="633"/>
      <c r="E7" s="633"/>
      <c r="F7" s="70"/>
    </row>
    <row r="8" spans="1:6" ht="18">
      <c r="A8" s="84"/>
      <c r="B8" s="3"/>
      <c r="C8" s="3"/>
      <c r="D8" s="3"/>
      <c r="E8" s="3"/>
      <c r="F8" s="3"/>
    </row>
    <row r="9" spans="1:6" ht="54.75" customHeight="1">
      <c r="A9" s="111" t="s">
        <v>157</v>
      </c>
      <c r="B9" s="111" t="s">
        <v>156</v>
      </c>
      <c r="C9" s="376" t="s">
        <v>173</v>
      </c>
      <c r="D9" s="376" t="s">
        <v>172</v>
      </c>
      <c r="E9" s="376" t="s">
        <v>171</v>
      </c>
      <c r="F9" s="376" t="s">
        <v>36</v>
      </c>
    </row>
    <row r="10" spans="1:6" ht="18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91">
        <v>6</v>
      </c>
    </row>
    <row r="11" spans="1:6" ht="63.75" customHeight="1">
      <c r="A11" s="337">
        <v>1</v>
      </c>
      <c r="B11" s="43" t="s">
        <v>555</v>
      </c>
      <c r="C11" s="210">
        <v>0</v>
      </c>
      <c r="D11" s="78">
        <v>0</v>
      </c>
      <c r="E11" s="114">
        <v>0</v>
      </c>
      <c r="F11" s="78">
        <f>D11*E11</f>
        <v>0</v>
      </c>
    </row>
    <row r="12" spans="1:6" ht="54.75" customHeight="1">
      <c r="A12" s="337">
        <v>2</v>
      </c>
      <c r="B12" s="79"/>
      <c r="C12" s="78">
        <v>0</v>
      </c>
      <c r="D12" s="78">
        <v>0</v>
      </c>
      <c r="E12" s="114">
        <v>0</v>
      </c>
      <c r="F12" s="78">
        <f>(C12*D12*E12)</f>
        <v>0</v>
      </c>
    </row>
    <row r="13" spans="1:6" s="6" customFormat="1" ht="54.75" customHeight="1">
      <c r="A13" s="337">
        <v>3</v>
      </c>
      <c r="B13" s="79"/>
      <c r="C13" s="78">
        <v>0</v>
      </c>
      <c r="D13" s="78">
        <v>0</v>
      </c>
      <c r="E13" s="114">
        <v>0</v>
      </c>
      <c r="F13" s="78">
        <f>(C13*D13*E13)</f>
        <v>0</v>
      </c>
    </row>
    <row r="14" spans="1:6" ht="18">
      <c r="A14" s="78"/>
      <c r="B14" s="79"/>
      <c r="C14" s="78"/>
      <c r="D14" s="78"/>
      <c r="E14" s="114" t="str">
        <f>IF(C14*D14=0," ",C14*D14)</f>
        <v> </v>
      </c>
      <c r="F14" s="78"/>
    </row>
    <row r="15" spans="1:6" ht="18">
      <c r="A15" s="78"/>
      <c r="B15" s="77" t="s">
        <v>145</v>
      </c>
      <c r="C15" s="337" t="s">
        <v>144</v>
      </c>
      <c r="D15" s="337" t="s">
        <v>144</v>
      </c>
      <c r="E15" s="117" t="str">
        <f>IF(SUM(E11:E14)=0," ",SUM(E11:E14))</f>
        <v> </v>
      </c>
      <c r="F15" s="117">
        <f>SUM(F11:F13)</f>
        <v>0</v>
      </c>
    </row>
    <row r="16" spans="1:6" ht="18">
      <c r="A16" s="3"/>
      <c r="B16" s="3"/>
      <c r="C16" s="3"/>
      <c r="D16" s="3"/>
      <c r="E16" s="3"/>
      <c r="F16" s="3"/>
    </row>
    <row r="17" spans="1:7" ht="18">
      <c r="A17" s="3"/>
      <c r="B17" s="3" t="s">
        <v>589</v>
      </c>
      <c r="C17" s="3"/>
      <c r="D17" s="437"/>
      <c r="E17" s="3" t="s">
        <v>590</v>
      </c>
      <c r="F17" s="3"/>
      <c r="G17" s="6"/>
    </row>
    <row r="18" spans="1:7" ht="18">
      <c r="A18" s="3"/>
      <c r="B18" s="1" t="s">
        <v>606</v>
      </c>
      <c r="C18" s="3"/>
      <c r="D18" s="3"/>
      <c r="E18" s="3" t="s">
        <v>402</v>
      </c>
      <c r="F18" s="3"/>
      <c r="G18" s="6"/>
    </row>
    <row r="19" spans="1:7" ht="18">
      <c r="A19" s="3"/>
      <c r="B19" s="3"/>
      <c r="C19" s="3"/>
      <c r="D19" s="3"/>
      <c r="E19" s="3"/>
      <c r="F19" s="3"/>
      <c r="G19" s="6"/>
    </row>
    <row r="20" spans="1:7" ht="18">
      <c r="A20" s="3"/>
      <c r="B20" s="3" t="s">
        <v>408</v>
      </c>
      <c r="C20" s="3"/>
      <c r="D20" s="437"/>
      <c r="E20" s="3" t="s">
        <v>591</v>
      </c>
      <c r="F20" s="3"/>
      <c r="G20" s="6"/>
    </row>
    <row r="21" spans="1:7" ht="18">
      <c r="A21" s="3"/>
      <c r="B21" s="1" t="s">
        <v>606</v>
      </c>
      <c r="C21" s="3"/>
      <c r="D21" s="3"/>
      <c r="E21" s="3" t="s">
        <v>402</v>
      </c>
      <c r="F21" s="3"/>
      <c r="G21" s="6"/>
    </row>
  </sheetData>
  <sheetProtection/>
  <mergeCells count="5">
    <mergeCell ref="A3:F3"/>
    <mergeCell ref="B5:E5"/>
    <mergeCell ref="B7:E7"/>
    <mergeCell ref="B6:K6"/>
    <mergeCell ref="B4:F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view="pageBreakPreview" zoomScale="60" zoomScalePageLayoutView="0" workbookViewId="0" topLeftCell="A5">
      <selection activeCell="B16" sqref="B16:F16"/>
    </sheetView>
  </sheetViews>
  <sheetFormatPr defaultColWidth="9.140625" defaultRowHeight="15"/>
  <cols>
    <col min="1" max="1" width="46.00390625" style="6" customWidth="1"/>
    <col min="2" max="2" width="6.7109375" style="6" customWidth="1"/>
    <col min="3" max="3" width="20.00390625" style="6" customWidth="1"/>
    <col min="4" max="4" width="20.28125" style="6" customWidth="1"/>
    <col min="5" max="5" width="21.140625" style="6" customWidth="1"/>
    <col min="6" max="6" width="10.7109375" style="6" customWidth="1"/>
    <col min="7" max="7" width="25.57421875" style="6" customWidth="1"/>
    <col min="8" max="8" width="20.28125" style="6" customWidth="1"/>
    <col min="9" max="16384" width="9.140625" style="6" customWidth="1"/>
  </cols>
  <sheetData>
    <row r="1" spans="1:8" s="1" customFormat="1" ht="18" hidden="1">
      <c r="A1" s="3"/>
      <c r="B1" s="3"/>
      <c r="C1" s="3"/>
      <c r="D1" s="226"/>
      <c r="E1" s="226"/>
      <c r="F1" s="226"/>
      <c r="G1" s="36"/>
      <c r="H1" s="226" t="s">
        <v>7</v>
      </c>
    </row>
    <row r="2" spans="1:8" s="1" customFormat="1" ht="18" hidden="1">
      <c r="A2" s="3"/>
      <c r="B2" s="3"/>
      <c r="C2" s="3"/>
      <c r="D2" s="227"/>
      <c r="E2" s="533" t="s">
        <v>22</v>
      </c>
      <c r="F2" s="533"/>
      <c r="G2" s="533"/>
      <c r="H2" s="533"/>
    </row>
    <row r="3" spans="1:8" s="1" customFormat="1" ht="18" hidden="1">
      <c r="A3" s="3"/>
      <c r="B3" s="3"/>
      <c r="C3" s="3"/>
      <c r="D3" s="533" t="s">
        <v>9</v>
      </c>
      <c r="E3" s="533"/>
      <c r="F3" s="533"/>
      <c r="G3" s="533"/>
      <c r="H3" s="533"/>
    </row>
    <row r="4" spans="1:8" s="1" customFormat="1" ht="18" hidden="1">
      <c r="A4" s="3"/>
      <c r="B4" s="3"/>
      <c r="C4" s="3"/>
      <c r="D4" s="227"/>
      <c r="E4" s="533" t="s">
        <v>8</v>
      </c>
      <c r="F4" s="533"/>
      <c r="G4" s="533"/>
      <c r="H4" s="533"/>
    </row>
    <row r="5" spans="1:8" s="1" customFormat="1" ht="45" customHeight="1">
      <c r="A5" s="55" t="s">
        <v>24</v>
      </c>
      <c r="B5" s="3"/>
      <c r="C5" s="3"/>
      <c r="D5" s="3"/>
      <c r="E5" s="3"/>
      <c r="F5" s="518" t="s">
        <v>28</v>
      </c>
      <c r="G5" s="518"/>
      <c r="H5" s="519"/>
    </row>
    <row r="6" spans="1:8" s="1" customFormat="1" ht="68.25" customHeight="1">
      <c r="A6" s="56" t="s">
        <v>136</v>
      </c>
      <c r="B6" s="3"/>
      <c r="C6" s="3" t="s">
        <v>12</v>
      </c>
      <c r="D6" s="57"/>
      <c r="E6" s="57"/>
      <c r="F6" s="510" t="s">
        <v>586</v>
      </c>
      <c r="G6" s="510"/>
      <c r="H6" s="510"/>
    </row>
    <row r="7" spans="1:8" s="36" customFormat="1" ht="45.75" customHeight="1">
      <c r="A7" s="66" t="s">
        <v>137</v>
      </c>
      <c r="C7" s="65"/>
      <c r="D7" s="534" t="s">
        <v>442</v>
      </c>
      <c r="E7" s="534"/>
      <c r="F7" s="534"/>
      <c r="G7" s="534"/>
      <c r="H7" s="534"/>
    </row>
    <row r="8" spans="1:9" s="1" customFormat="1" ht="37.5">
      <c r="A8" s="3" t="s">
        <v>138</v>
      </c>
      <c r="B8" s="3"/>
      <c r="C8" s="3"/>
      <c r="D8" s="57"/>
      <c r="E8" s="57"/>
      <c r="F8" s="532" t="s">
        <v>431</v>
      </c>
      <c r="G8" s="532"/>
      <c r="H8" s="56" t="s">
        <v>587</v>
      </c>
      <c r="I8" s="5"/>
    </row>
    <row r="9" spans="1:8" s="36" customFormat="1" ht="14.25" customHeight="1">
      <c r="A9" s="36" t="s">
        <v>25</v>
      </c>
      <c r="D9" s="64"/>
      <c r="E9" s="65"/>
      <c r="F9" s="65"/>
      <c r="G9" s="65" t="s">
        <v>29</v>
      </c>
      <c r="H9" s="65" t="s">
        <v>30</v>
      </c>
    </row>
    <row r="10" spans="1:8" s="1" customFormat="1" ht="18">
      <c r="A10" s="3" t="s">
        <v>23</v>
      </c>
      <c r="B10" s="3"/>
      <c r="C10" s="3"/>
      <c r="D10" s="57"/>
      <c r="E10" s="57"/>
      <c r="F10" s="57"/>
      <c r="G10" s="57" t="s">
        <v>23</v>
      </c>
      <c r="H10" s="57"/>
    </row>
    <row r="11" spans="1:8" s="1" customFormat="1" ht="22.5" customHeight="1">
      <c r="A11" s="3" t="s">
        <v>143</v>
      </c>
      <c r="B11" s="3"/>
      <c r="C11" s="3"/>
      <c r="D11" s="516"/>
      <c r="E11" s="517"/>
      <c r="F11" s="517"/>
      <c r="G11" s="3" t="s">
        <v>143</v>
      </c>
      <c r="H11" s="57"/>
    </row>
    <row r="12" spans="1:8" s="1" customFormat="1" ht="14.25" customHeight="1">
      <c r="A12" s="3"/>
      <c r="B12" s="3"/>
      <c r="C12" s="3"/>
      <c r="D12" s="3"/>
      <c r="E12" s="520"/>
      <c r="F12" s="520"/>
      <c r="G12" s="521"/>
      <c r="H12" s="521"/>
    </row>
    <row r="13" spans="1:8" s="1" customFormat="1" ht="18">
      <c r="A13" s="3"/>
      <c r="B13" s="522" t="s">
        <v>10</v>
      </c>
      <c r="C13" s="522"/>
      <c r="D13" s="522"/>
      <c r="E13" s="522"/>
      <c r="F13" s="522"/>
      <c r="G13" s="3"/>
      <c r="H13" s="3"/>
    </row>
    <row r="14" spans="1:8" s="1" customFormat="1" ht="18">
      <c r="A14" s="3"/>
      <c r="B14" s="522" t="s">
        <v>416</v>
      </c>
      <c r="C14" s="522"/>
      <c r="D14" s="522"/>
      <c r="E14" s="522"/>
      <c r="F14" s="522"/>
      <c r="G14" s="3"/>
      <c r="H14" s="3"/>
    </row>
    <row r="15" spans="1:8" s="1" customFormat="1" ht="18">
      <c r="A15" s="3"/>
      <c r="B15" s="522" t="s">
        <v>706</v>
      </c>
      <c r="C15" s="522"/>
      <c r="D15" s="522"/>
      <c r="E15" s="522"/>
      <c r="F15" s="522"/>
      <c r="G15" s="3"/>
      <c r="H15" s="3"/>
    </row>
    <row r="16" spans="1:8" s="1" customFormat="1" ht="22.5" customHeight="1">
      <c r="A16" s="3"/>
      <c r="B16" s="523" t="s">
        <v>415</v>
      </c>
      <c r="C16" s="523"/>
      <c r="D16" s="531"/>
      <c r="E16" s="523"/>
      <c r="F16" s="523"/>
      <c r="G16" s="3"/>
      <c r="H16" s="60"/>
    </row>
    <row r="17" spans="1:8" s="1" customFormat="1" ht="22.5" customHeight="1">
      <c r="A17" s="514" t="s">
        <v>139</v>
      </c>
      <c r="B17" s="514" t="s">
        <v>584</v>
      </c>
      <c r="C17" s="514"/>
      <c r="D17" s="514"/>
      <c r="E17" s="514"/>
      <c r="F17" s="514"/>
      <c r="G17" s="3"/>
      <c r="H17" s="90" t="s">
        <v>409</v>
      </c>
    </row>
    <row r="18" spans="1:8" s="1" customFormat="1" ht="18">
      <c r="A18" s="514"/>
      <c r="B18" s="514"/>
      <c r="C18" s="514"/>
      <c r="D18" s="514"/>
      <c r="E18" s="514"/>
      <c r="F18" s="514"/>
      <c r="G18" s="197" t="s">
        <v>410</v>
      </c>
      <c r="H18" s="204"/>
    </row>
    <row r="19" spans="1:10" s="1" customFormat="1" ht="18">
      <c r="A19" s="514"/>
      <c r="B19" s="514"/>
      <c r="C19" s="514"/>
      <c r="D19" s="514"/>
      <c r="E19" s="514"/>
      <c r="F19" s="514"/>
      <c r="G19" s="205" t="s">
        <v>413</v>
      </c>
      <c r="H19" s="206"/>
      <c r="I19" s="540" t="s">
        <v>413</v>
      </c>
      <c r="J19" s="535"/>
    </row>
    <row r="20" spans="1:10" s="1" customFormat="1" ht="18.75" customHeight="1" thickBot="1">
      <c r="A20" s="514"/>
      <c r="B20" s="514"/>
      <c r="C20" s="514"/>
      <c r="D20" s="514"/>
      <c r="E20" s="514"/>
      <c r="F20" s="514"/>
      <c r="G20" s="205" t="s">
        <v>418</v>
      </c>
      <c r="H20" s="458">
        <v>55964848</v>
      </c>
      <c r="I20" s="540"/>
      <c r="J20" s="536"/>
    </row>
    <row r="21" spans="1:10" s="1" customFormat="1" ht="18" hidden="1" thickBot="1">
      <c r="A21" s="3"/>
      <c r="B21" s="3"/>
      <c r="C21" s="3"/>
      <c r="D21" s="3"/>
      <c r="E21" s="3"/>
      <c r="F21" s="3"/>
      <c r="G21" s="197"/>
      <c r="H21" s="403"/>
      <c r="I21" s="540"/>
      <c r="J21" s="536"/>
    </row>
    <row r="22" spans="1:10" s="1" customFormat="1" ht="18" hidden="1" thickBot="1">
      <c r="A22" s="3" t="s">
        <v>6</v>
      </c>
      <c r="B22" s="3"/>
      <c r="C22" s="538"/>
      <c r="D22" s="538"/>
      <c r="E22" s="3" t="s">
        <v>27</v>
      </c>
      <c r="F22" s="63"/>
      <c r="G22" s="207"/>
      <c r="H22" s="403"/>
      <c r="I22" s="540"/>
      <c r="J22" s="537"/>
    </row>
    <row r="23" spans="1:8" s="1" customFormat="1" ht="18" hidden="1" thickBot="1">
      <c r="A23" s="3"/>
      <c r="B23" s="3"/>
      <c r="C23" s="3"/>
      <c r="D23" s="3"/>
      <c r="E23" s="3"/>
      <c r="F23" s="3"/>
      <c r="G23" s="197" t="s">
        <v>141</v>
      </c>
      <c r="H23" s="62">
        <v>3628416</v>
      </c>
    </row>
    <row r="24" spans="1:8" s="1" customFormat="1" ht="18.75" customHeight="1" thickBot="1">
      <c r="A24" s="3" t="s">
        <v>6</v>
      </c>
      <c r="B24" s="3"/>
      <c r="C24" s="229">
        <v>2340014484</v>
      </c>
      <c r="D24" s="225"/>
      <c r="E24" s="229">
        <v>234001001</v>
      </c>
      <c r="F24" s="3"/>
      <c r="G24" s="197" t="s">
        <v>414</v>
      </c>
      <c r="H24" s="403"/>
    </row>
    <row r="25" spans="1:8" s="1" customFormat="1" ht="18">
      <c r="A25" s="525" t="s">
        <v>5</v>
      </c>
      <c r="B25" s="526" t="s">
        <v>140</v>
      </c>
      <c r="C25" s="526"/>
      <c r="D25" s="526"/>
      <c r="E25" s="526"/>
      <c r="F25" s="526"/>
      <c r="G25" s="197" t="s">
        <v>411</v>
      </c>
      <c r="H25" s="403"/>
    </row>
    <row r="26" spans="1:8" s="1" customFormat="1" ht="19.5" customHeight="1">
      <c r="A26" s="525"/>
      <c r="B26" s="527"/>
      <c r="C26" s="527"/>
      <c r="D26" s="527"/>
      <c r="E26" s="527"/>
      <c r="F26" s="527"/>
      <c r="G26" s="197" t="s">
        <v>419</v>
      </c>
      <c r="H26" s="401">
        <v>3645101001</v>
      </c>
    </row>
    <row r="27" spans="1:8" s="1" customFormat="1" ht="40.5" customHeight="1">
      <c r="A27" s="3" t="s">
        <v>4</v>
      </c>
      <c r="B27" s="539" t="s">
        <v>585</v>
      </c>
      <c r="C27" s="539"/>
      <c r="D27" s="539"/>
      <c r="E27" s="539"/>
      <c r="F27" s="539"/>
      <c r="G27" s="197" t="s">
        <v>1</v>
      </c>
      <c r="H27" s="403"/>
    </row>
    <row r="28" spans="1:8" s="1" customFormat="1" ht="18" customHeight="1">
      <c r="A28" s="525"/>
      <c r="B28" s="525"/>
      <c r="C28" s="525"/>
      <c r="D28" s="525"/>
      <c r="E28" s="525"/>
      <c r="F28" s="525"/>
      <c r="G28" s="197" t="s">
        <v>2</v>
      </c>
      <c r="H28" s="403">
        <v>383</v>
      </c>
    </row>
    <row r="29" spans="1:8" s="1" customFormat="1" ht="18">
      <c r="A29" s="525" t="s">
        <v>142</v>
      </c>
      <c r="B29" s="525"/>
      <c r="C29" s="525"/>
      <c r="D29" s="525"/>
      <c r="E29" s="525"/>
      <c r="F29" s="525"/>
      <c r="G29" s="197" t="s">
        <v>3</v>
      </c>
      <c r="H29" s="403"/>
    </row>
    <row r="30" spans="7:8" s="1" customFormat="1" ht="18">
      <c r="G30" s="3"/>
      <c r="H30" s="205"/>
    </row>
    <row r="31" s="1" customFormat="1" ht="15"/>
    <row r="32" s="1" customFormat="1" ht="15"/>
    <row r="33" s="1" customFormat="1" ht="15"/>
  </sheetData>
  <sheetProtection/>
  <mergeCells count="24">
    <mergeCell ref="B27:F27"/>
    <mergeCell ref="A29:F29"/>
    <mergeCell ref="A17:A20"/>
    <mergeCell ref="B17:F20"/>
    <mergeCell ref="I19:I22"/>
    <mergeCell ref="A28:F28"/>
    <mergeCell ref="J19:J22"/>
    <mergeCell ref="C22:D22"/>
    <mergeCell ref="A25:A26"/>
    <mergeCell ref="B25:F26"/>
    <mergeCell ref="D11:F11"/>
    <mergeCell ref="E12:F12"/>
    <mergeCell ref="G12:H12"/>
    <mergeCell ref="B13:F13"/>
    <mergeCell ref="B14:F14"/>
    <mergeCell ref="B15:F15"/>
    <mergeCell ref="B16:F16"/>
    <mergeCell ref="F8:G8"/>
    <mergeCell ref="E2:H2"/>
    <mergeCell ref="D3:H3"/>
    <mergeCell ref="E4:H4"/>
    <mergeCell ref="F5:H5"/>
    <mergeCell ref="D7:H7"/>
    <mergeCell ref="F6:H6"/>
  </mergeCells>
  <printOptions/>
  <pageMargins left="0.25" right="0.25" top="0.75" bottom="0.75" header="0.3" footer="0.3"/>
  <pageSetup fitToHeight="1" fitToWidth="1" horizontalDpi="600" verticalDpi="600" orientation="landscape" paperSize="9" scale="8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1"/>
  <sheetViews>
    <sheetView view="pageBreakPreview" zoomScale="60" zoomScalePageLayoutView="0" workbookViewId="0" topLeftCell="A10">
      <selection activeCell="D26" sqref="D26"/>
    </sheetView>
  </sheetViews>
  <sheetFormatPr defaultColWidth="9.140625" defaultRowHeight="15"/>
  <cols>
    <col min="1" max="1" width="7.28125" style="6" customWidth="1"/>
    <col min="2" max="2" width="71.421875" style="6" customWidth="1"/>
    <col min="3" max="3" width="23.7109375" style="3" customWidth="1"/>
    <col min="4" max="4" width="50.7109375" style="6" customWidth="1"/>
    <col min="5" max="16384" width="9.140625" style="6" customWidth="1"/>
  </cols>
  <sheetData>
    <row r="1" spans="1:4" ht="18">
      <c r="A1" s="3"/>
      <c r="B1" s="3"/>
      <c r="D1" s="11" t="s">
        <v>118</v>
      </c>
    </row>
    <row r="2" spans="1:4" ht="18">
      <c r="A2" s="3"/>
      <c r="B2" s="3"/>
      <c r="D2" s="3"/>
    </row>
    <row r="3" spans="1:8" ht="71.25" customHeight="1">
      <c r="A3" s="656" t="s">
        <v>181</v>
      </c>
      <c r="B3" s="656"/>
      <c r="C3" s="656"/>
      <c r="D3" s="656"/>
      <c r="E3" s="21"/>
      <c r="F3" s="21"/>
      <c r="G3" s="21"/>
      <c r="H3" s="21"/>
    </row>
    <row r="4" spans="1:8" ht="27" customHeight="1">
      <c r="A4" s="149"/>
      <c r="B4" s="632" t="s">
        <v>716</v>
      </c>
      <c r="C4" s="632"/>
      <c r="D4" s="632"/>
      <c r="E4" s="21"/>
      <c r="F4" s="21"/>
      <c r="G4" s="21"/>
      <c r="H4" s="21"/>
    </row>
    <row r="5" spans="1:8" ht="28.5" customHeight="1">
      <c r="A5" s="149"/>
      <c r="B5" s="646" t="s">
        <v>344</v>
      </c>
      <c r="C5" s="646"/>
      <c r="D5" s="646"/>
      <c r="E5" s="21"/>
      <c r="F5" s="21"/>
      <c r="G5" s="21"/>
      <c r="H5" s="21"/>
    </row>
    <row r="6" spans="1:4" s="70" customFormat="1" ht="27.75" customHeight="1">
      <c r="A6" s="84"/>
      <c r="B6" s="632" t="s">
        <v>728</v>
      </c>
      <c r="C6" s="632"/>
      <c r="D6" s="632"/>
    </row>
    <row r="7" spans="1:4" s="70" customFormat="1" ht="19.5" customHeight="1">
      <c r="A7" s="84"/>
      <c r="B7" s="646" t="s">
        <v>252</v>
      </c>
      <c r="C7" s="646"/>
      <c r="D7" s="646"/>
    </row>
    <row r="8" spans="1:4" ht="18">
      <c r="A8" s="84"/>
      <c r="B8" s="3"/>
      <c r="D8" s="3"/>
    </row>
    <row r="9" spans="1:4" ht="72.75" customHeight="1">
      <c r="A9" s="42" t="s">
        <v>157</v>
      </c>
      <c r="B9" s="42" t="s">
        <v>180</v>
      </c>
      <c r="C9" s="144" t="s">
        <v>179</v>
      </c>
      <c r="D9" s="144" t="s">
        <v>178</v>
      </c>
    </row>
    <row r="10" spans="1:4" ht="18">
      <c r="A10" s="91">
        <v>1</v>
      </c>
      <c r="B10" s="42">
        <v>2</v>
      </c>
      <c r="C10" s="90">
        <v>3</v>
      </c>
      <c r="D10" s="119">
        <v>4</v>
      </c>
    </row>
    <row r="11" spans="1:4" s="25" customFormat="1" ht="37.5" customHeight="1">
      <c r="A11" s="42">
        <v>1</v>
      </c>
      <c r="B11" s="96" t="s">
        <v>347</v>
      </c>
      <c r="C11" s="170"/>
      <c r="D11" s="244">
        <f>SUM(D13:D15)</f>
        <v>298571.46</v>
      </c>
    </row>
    <row r="12" spans="1:4" ht="18">
      <c r="A12" s="43"/>
      <c r="B12" s="96" t="s">
        <v>40</v>
      </c>
      <c r="C12" s="170"/>
      <c r="D12" s="244"/>
    </row>
    <row r="13" spans="1:4" ht="18">
      <c r="A13" s="171"/>
      <c r="B13" s="96" t="s">
        <v>177</v>
      </c>
      <c r="C13" s="242">
        <f>'111 Б'!J32*1000</f>
        <v>1357143</v>
      </c>
      <c r="D13" s="244">
        <f>C13*0.22</f>
        <v>298571.46</v>
      </c>
    </row>
    <row r="14" spans="1:4" ht="18">
      <c r="A14" s="42"/>
      <c r="B14" s="96" t="s">
        <v>176</v>
      </c>
      <c r="C14" s="170"/>
      <c r="D14" s="244"/>
    </row>
    <row r="15" spans="1:4" ht="18" hidden="1">
      <c r="A15" s="43"/>
      <c r="B15" s="43"/>
      <c r="C15" s="170"/>
      <c r="D15" s="244"/>
    </row>
    <row r="16" spans="1:4" s="25" customFormat="1" ht="60" customHeight="1">
      <c r="A16" s="42">
        <v>2</v>
      </c>
      <c r="B16" s="96" t="s">
        <v>348</v>
      </c>
      <c r="C16" s="242">
        <f>C13</f>
        <v>1357143</v>
      </c>
      <c r="D16" s="244">
        <f>C16*0.029</f>
        <v>39357.147000000004</v>
      </c>
    </row>
    <row r="17" spans="1:4" ht="20.25" customHeight="1" hidden="1">
      <c r="A17" s="42"/>
      <c r="B17" s="96"/>
      <c r="C17" s="170"/>
      <c r="D17" s="244"/>
    </row>
    <row r="18" spans="1:4" s="25" customFormat="1" ht="57" customHeight="1">
      <c r="A18" s="42">
        <v>4</v>
      </c>
      <c r="B18" s="96" t="s">
        <v>175</v>
      </c>
      <c r="C18" s="242">
        <f>C13</f>
        <v>1357143</v>
      </c>
      <c r="D18" s="244">
        <f>C18*0.002</f>
        <v>2714.286</v>
      </c>
    </row>
    <row r="19" spans="1:4" ht="18" hidden="1">
      <c r="A19" s="43"/>
      <c r="B19" s="43"/>
      <c r="C19" s="170"/>
      <c r="D19" s="244"/>
    </row>
    <row r="20" spans="1:4" s="25" customFormat="1" ht="39" customHeight="1">
      <c r="A20" s="42">
        <v>5</v>
      </c>
      <c r="B20" s="96" t="s">
        <v>174</v>
      </c>
      <c r="C20" s="242">
        <f>C13</f>
        <v>1357143</v>
      </c>
      <c r="D20" s="244">
        <f>C20*0.051</f>
        <v>69214.29299999999</v>
      </c>
    </row>
    <row r="21" spans="1:4" ht="24.75" customHeight="1" hidden="1">
      <c r="A21" s="42"/>
      <c r="B21" s="96"/>
      <c r="C21" s="170"/>
      <c r="D21" s="244"/>
    </row>
    <row r="22" spans="1:4" s="25" customFormat="1" ht="18">
      <c r="A22" s="43"/>
      <c r="B22" s="96" t="s">
        <v>145</v>
      </c>
      <c r="C22" s="42" t="s">
        <v>144</v>
      </c>
      <c r="D22" s="244">
        <f>SUM(D11+D16+D18+D20)-0.19</f>
        <v>409856.99600000004</v>
      </c>
    </row>
    <row r="23" ht="18">
      <c r="D23" s="254">
        <f>D22+'111 Б'!J32*1000</f>
        <v>1766999.996</v>
      </c>
    </row>
    <row r="24" ht="18">
      <c r="D24" s="254"/>
    </row>
    <row r="25" spans="2:4" s="3" customFormat="1" ht="18">
      <c r="B25" s="3" t="s">
        <v>589</v>
      </c>
      <c r="C25" s="3" t="s">
        <v>131</v>
      </c>
      <c r="D25" s="437" t="s">
        <v>753</v>
      </c>
    </row>
    <row r="26" spans="2:4" s="3" customFormat="1" ht="18">
      <c r="B26" s="1" t="s">
        <v>600</v>
      </c>
      <c r="C26" s="3" t="s">
        <v>29</v>
      </c>
      <c r="D26" s="437" t="s">
        <v>127</v>
      </c>
    </row>
    <row r="27" spans="2:4" s="3" customFormat="1" ht="18">
      <c r="B27" s="3" t="s">
        <v>126</v>
      </c>
      <c r="C27" s="3" t="s">
        <v>131</v>
      </c>
      <c r="D27" s="437" t="s">
        <v>591</v>
      </c>
    </row>
    <row r="28" spans="2:4" s="3" customFormat="1" ht="18">
      <c r="B28" s="3" t="s">
        <v>601</v>
      </c>
      <c r="C28" s="3" t="s">
        <v>29</v>
      </c>
      <c r="D28" s="437" t="s">
        <v>127</v>
      </c>
    </row>
    <row r="29" s="3" customFormat="1" ht="18">
      <c r="B29" s="1"/>
    </row>
    <row r="30" s="3" customFormat="1" ht="18"/>
    <row r="31" s="3" customFormat="1" ht="18">
      <c r="B31" s="1" t="s">
        <v>404</v>
      </c>
    </row>
    <row r="32" s="3" customFormat="1" ht="18"/>
    <row r="33" s="3" customFormat="1" ht="18"/>
  </sheetData>
  <sheetProtection/>
  <mergeCells count="5">
    <mergeCell ref="A3:D3"/>
    <mergeCell ref="B6:D6"/>
    <mergeCell ref="B7:D7"/>
    <mergeCell ref="B4:D4"/>
    <mergeCell ref="B5:D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2:F31"/>
  <sheetViews>
    <sheetView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2" width="9.140625" style="0" customWidth="1"/>
    <col min="3" max="3" width="30.57421875" style="0" customWidth="1"/>
    <col min="4" max="4" width="29.421875" style="0" customWidth="1"/>
    <col min="5" max="5" width="33.28125" style="0" customWidth="1"/>
    <col min="6" max="6" width="43.7109375" style="0" customWidth="1"/>
  </cols>
  <sheetData>
    <row r="2" spans="2:6" ht="18">
      <c r="B2" s="6"/>
      <c r="C2" s="6"/>
      <c r="D2" s="6"/>
      <c r="E2" s="6"/>
      <c r="F2" s="11" t="s">
        <v>260</v>
      </c>
    </row>
    <row r="3" spans="2:6" ht="14.25">
      <c r="B3" s="6"/>
      <c r="C3" s="6"/>
      <c r="D3" s="6"/>
      <c r="E3" s="6"/>
      <c r="F3" s="6"/>
    </row>
    <row r="4" spans="2:6" ht="14.25">
      <c r="B4" s="6"/>
      <c r="C4" s="6"/>
      <c r="D4" s="6"/>
      <c r="E4" s="6"/>
      <c r="F4" s="6"/>
    </row>
    <row r="5" spans="2:6" ht="14.25">
      <c r="B5" s="644" t="s">
        <v>220</v>
      </c>
      <c r="C5" s="659"/>
      <c r="D5" s="659"/>
      <c r="E5" s="659"/>
      <c r="F5" s="659"/>
    </row>
    <row r="6" spans="2:6" ht="18">
      <c r="B6" s="660" t="s">
        <v>596</v>
      </c>
      <c r="C6" s="660"/>
      <c r="D6" s="660"/>
      <c r="E6" s="660"/>
      <c r="F6" s="660"/>
    </row>
    <row r="7" spans="2:6" ht="15">
      <c r="B7" s="633" t="s">
        <v>344</v>
      </c>
      <c r="C7" s="633"/>
      <c r="D7" s="633"/>
      <c r="E7" s="633"/>
      <c r="F7" s="633"/>
    </row>
    <row r="8" spans="2:6" ht="18" customHeight="1">
      <c r="B8" s="661" t="s">
        <v>634</v>
      </c>
      <c r="C8" s="661"/>
      <c r="D8" s="661"/>
      <c r="E8" s="661"/>
      <c r="F8" s="661"/>
    </row>
    <row r="9" spans="2:6" ht="15">
      <c r="B9" s="633" t="s">
        <v>252</v>
      </c>
      <c r="C9" s="633"/>
      <c r="D9" s="633"/>
      <c r="E9" s="633"/>
      <c r="F9" s="633"/>
    </row>
    <row r="10" spans="2:6" ht="14.25">
      <c r="B10" s="6"/>
      <c r="C10" s="6"/>
      <c r="D10" s="6"/>
      <c r="E10" s="6"/>
      <c r="F10" s="6"/>
    </row>
    <row r="11" spans="2:6" ht="18">
      <c r="B11" s="84"/>
      <c r="C11" s="6"/>
      <c r="D11" s="6"/>
      <c r="E11" s="6"/>
      <c r="F11" s="6"/>
    </row>
    <row r="12" spans="2:6" ht="14.25">
      <c r="B12" s="654" t="s">
        <v>157</v>
      </c>
      <c r="C12" s="654" t="s">
        <v>156</v>
      </c>
      <c r="D12" s="654" t="s">
        <v>221</v>
      </c>
      <c r="E12" s="654" t="s">
        <v>222</v>
      </c>
      <c r="F12" s="654" t="s">
        <v>258</v>
      </c>
    </row>
    <row r="13" spans="2:6" ht="14.25">
      <c r="B13" s="662"/>
      <c r="C13" s="662"/>
      <c r="D13" s="662"/>
      <c r="E13" s="662"/>
      <c r="F13" s="662"/>
    </row>
    <row r="14" spans="2:6" ht="14.25">
      <c r="B14" s="655"/>
      <c r="C14" s="655"/>
      <c r="D14" s="655"/>
      <c r="E14" s="655"/>
      <c r="F14" s="655"/>
    </row>
    <row r="15" spans="2:6" ht="32.25" customHeight="1">
      <c r="B15" s="103">
        <v>1</v>
      </c>
      <c r="C15" s="42">
        <v>2</v>
      </c>
      <c r="D15" s="42">
        <v>3</v>
      </c>
      <c r="E15" s="42">
        <v>4</v>
      </c>
      <c r="F15" s="42" t="s">
        <v>438</v>
      </c>
    </row>
    <row r="16" spans="2:6" ht="45.75" customHeight="1">
      <c r="B16" s="92"/>
      <c r="C16" s="221" t="s">
        <v>259</v>
      </c>
      <c r="D16" s="92" t="s">
        <v>144</v>
      </c>
      <c r="E16" s="92" t="s">
        <v>144</v>
      </c>
      <c r="F16" s="261">
        <f>F18+F21</f>
        <v>0</v>
      </c>
    </row>
    <row r="17" spans="2:6" ht="51" customHeight="1">
      <c r="B17" s="86"/>
      <c r="C17" s="80" t="s">
        <v>223</v>
      </c>
      <c r="D17" s="114"/>
      <c r="E17" s="114"/>
      <c r="F17" s="260"/>
    </row>
    <row r="18" spans="2:6" ht="41.25" customHeight="1">
      <c r="B18" s="86"/>
      <c r="C18" s="80" t="s">
        <v>224</v>
      </c>
      <c r="D18" s="323"/>
      <c r="E18" s="323">
        <v>2.2</v>
      </c>
      <c r="F18" s="322">
        <f>D18*E18/100</f>
        <v>0</v>
      </c>
    </row>
    <row r="19" spans="2:6" ht="18">
      <c r="B19" s="86"/>
      <c r="C19" s="80" t="s">
        <v>38</v>
      </c>
      <c r="D19" s="114"/>
      <c r="E19" s="114"/>
      <c r="F19" s="260"/>
    </row>
    <row r="20" spans="2:6" ht="31.5" customHeight="1">
      <c r="B20" s="86"/>
      <c r="C20" s="80" t="s">
        <v>225</v>
      </c>
      <c r="D20" s="114"/>
      <c r="E20" s="114"/>
      <c r="F20" s="260"/>
    </row>
    <row r="21" spans="2:6" ht="45.75" customHeight="1">
      <c r="B21" s="86"/>
      <c r="C21" s="80" t="s">
        <v>226</v>
      </c>
      <c r="D21" s="114"/>
      <c r="E21" s="114">
        <v>2.2</v>
      </c>
      <c r="F21" s="260">
        <f>D21*E21/100</f>
        <v>0</v>
      </c>
    </row>
    <row r="22" spans="2:6" ht="18">
      <c r="B22" s="86"/>
      <c r="C22" s="80" t="s">
        <v>38</v>
      </c>
      <c r="D22" s="114"/>
      <c r="E22" s="114"/>
      <c r="F22" s="260"/>
    </row>
    <row r="23" spans="2:6" ht="18">
      <c r="B23" s="86"/>
      <c r="C23" s="80" t="s">
        <v>225</v>
      </c>
      <c r="D23" s="114"/>
      <c r="E23" s="114"/>
      <c r="F23" s="260"/>
    </row>
    <row r="24" spans="2:6" ht="18">
      <c r="B24" s="86"/>
      <c r="C24" s="88"/>
      <c r="D24" s="114"/>
      <c r="E24" s="114"/>
      <c r="F24" s="260"/>
    </row>
    <row r="25" spans="2:6" ht="18">
      <c r="B25" s="86"/>
      <c r="C25" s="88"/>
      <c r="D25" s="114"/>
      <c r="E25" s="114"/>
      <c r="F25" s="260"/>
    </row>
    <row r="26" spans="2:6" ht="14.25">
      <c r="B26" s="6"/>
      <c r="C26" s="6"/>
      <c r="D26" s="6"/>
      <c r="E26" s="6"/>
      <c r="F26" s="6"/>
    </row>
    <row r="27" spans="2:6" ht="18">
      <c r="B27" s="3"/>
      <c r="C27" s="3" t="s">
        <v>589</v>
      </c>
      <c r="D27" s="3"/>
      <c r="E27" s="3"/>
      <c r="F27" s="437" t="s">
        <v>590</v>
      </c>
    </row>
    <row r="28" spans="2:6" ht="18">
      <c r="B28" s="3"/>
      <c r="C28" s="3" t="s">
        <v>606</v>
      </c>
      <c r="D28" s="3"/>
      <c r="E28" s="3"/>
      <c r="F28" s="437" t="s">
        <v>402</v>
      </c>
    </row>
    <row r="29" spans="2:6" ht="18">
      <c r="B29" s="3"/>
      <c r="C29" s="3"/>
      <c r="D29" s="3"/>
      <c r="E29" s="3"/>
      <c r="F29" s="437"/>
    </row>
    <row r="30" spans="2:6" ht="18">
      <c r="B30" s="3"/>
      <c r="C30" s="3" t="s">
        <v>408</v>
      </c>
      <c r="D30" s="3"/>
      <c r="E30" s="3"/>
      <c r="F30" s="437" t="s">
        <v>591</v>
      </c>
    </row>
    <row r="31" spans="2:6" ht="18">
      <c r="B31" s="3"/>
      <c r="C31" s="3" t="s">
        <v>606</v>
      </c>
      <c r="D31" s="3"/>
      <c r="E31" s="3"/>
      <c r="F31" s="3" t="s">
        <v>402</v>
      </c>
    </row>
  </sheetData>
  <sheetProtection/>
  <mergeCells count="10">
    <mergeCell ref="B5:F5"/>
    <mergeCell ref="B6:F6"/>
    <mergeCell ref="B7:F7"/>
    <mergeCell ref="B8:F8"/>
    <mergeCell ref="B9:F9"/>
    <mergeCell ref="B12:B14"/>
    <mergeCell ref="C12:C14"/>
    <mergeCell ref="D12:D14"/>
    <mergeCell ref="E12:E14"/>
    <mergeCell ref="F12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view="pageBreakPreview" zoomScale="60" zoomScalePageLayoutView="0" workbookViewId="0" topLeftCell="A1">
      <selection activeCell="B6" sqref="B6:F6"/>
    </sheetView>
  </sheetViews>
  <sheetFormatPr defaultColWidth="9.140625" defaultRowHeight="15"/>
  <cols>
    <col min="1" max="1" width="10.7109375" style="0" customWidth="1"/>
    <col min="2" max="2" width="35.7109375" style="0" customWidth="1"/>
    <col min="3" max="6" width="25.7109375" style="0" customWidth="1"/>
  </cols>
  <sheetData>
    <row r="1" spans="1:6" ht="18">
      <c r="A1" s="3"/>
      <c r="B1" s="3"/>
      <c r="C1" s="3"/>
      <c r="D1" s="3"/>
      <c r="E1" s="3"/>
      <c r="F1" s="308" t="s">
        <v>263</v>
      </c>
    </row>
    <row r="2" spans="1:6" ht="18">
      <c r="A2" s="3"/>
      <c r="B2" s="3"/>
      <c r="C2" s="3"/>
      <c r="D2" s="3"/>
      <c r="E2" s="3"/>
      <c r="F2" s="3"/>
    </row>
    <row r="3" spans="1:6" ht="17.25">
      <c r="A3" s="644" t="s">
        <v>231</v>
      </c>
      <c r="B3" s="644"/>
      <c r="C3" s="644"/>
      <c r="D3" s="644"/>
      <c r="E3" s="644"/>
      <c r="F3" s="644"/>
    </row>
    <row r="4" spans="1:6" ht="18">
      <c r="A4" s="660" t="s">
        <v>596</v>
      </c>
      <c r="B4" s="660"/>
      <c r="C4" s="660"/>
      <c r="D4" s="660"/>
      <c r="E4" s="660"/>
      <c r="F4" s="660"/>
    </row>
    <row r="5" spans="1:6" ht="18">
      <c r="A5" s="663" t="s">
        <v>344</v>
      </c>
      <c r="B5" s="663"/>
      <c r="C5" s="663"/>
      <c r="D5" s="663"/>
      <c r="E5" s="663"/>
      <c r="F5" s="663"/>
    </row>
    <row r="6" spans="1:6" ht="18">
      <c r="A6" s="174"/>
      <c r="B6" s="438" t="s">
        <v>634</v>
      </c>
      <c r="C6" s="438"/>
      <c r="D6" s="438"/>
      <c r="E6" s="438"/>
      <c r="F6" s="438"/>
    </row>
    <row r="7" spans="1:6" ht="18">
      <c r="A7" s="663" t="s">
        <v>252</v>
      </c>
      <c r="B7" s="663"/>
      <c r="C7" s="663"/>
      <c r="D7" s="663"/>
      <c r="E7" s="663"/>
      <c r="F7" s="663"/>
    </row>
    <row r="8" spans="1:6" ht="18">
      <c r="A8" s="84"/>
      <c r="B8" s="3"/>
      <c r="C8" s="3"/>
      <c r="D8" s="3"/>
      <c r="E8" s="3"/>
      <c r="F8" s="3"/>
    </row>
    <row r="9" spans="1:6" ht="54">
      <c r="A9" s="309" t="s">
        <v>157</v>
      </c>
      <c r="B9" s="309" t="s">
        <v>156</v>
      </c>
      <c r="C9" s="309" t="s">
        <v>406</v>
      </c>
      <c r="D9" s="309" t="s">
        <v>221</v>
      </c>
      <c r="E9" s="309" t="s">
        <v>366</v>
      </c>
      <c r="F9" s="309" t="s">
        <v>232</v>
      </c>
    </row>
    <row r="10" spans="1:6" ht="18">
      <c r="A10" s="42">
        <v>1</v>
      </c>
      <c r="B10" s="42">
        <v>2</v>
      </c>
      <c r="C10" s="42"/>
      <c r="D10" s="42">
        <v>3</v>
      </c>
      <c r="E10" s="42">
        <v>4</v>
      </c>
      <c r="F10" s="42">
        <v>5</v>
      </c>
    </row>
    <row r="11" spans="1:6" ht="27.75" customHeight="1">
      <c r="A11" s="81">
        <v>1</v>
      </c>
      <c r="B11" s="77" t="s">
        <v>233</v>
      </c>
      <c r="C11" s="116"/>
      <c r="D11" s="115"/>
      <c r="E11" s="115"/>
      <c r="F11" s="247"/>
    </row>
    <row r="12" spans="1:6" ht="28.5" customHeight="1">
      <c r="A12" s="81"/>
      <c r="B12" s="80" t="s">
        <v>367</v>
      </c>
      <c r="C12" s="116"/>
      <c r="D12" s="115"/>
      <c r="E12" s="115"/>
      <c r="F12" s="247"/>
    </row>
    <row r="13" spans="1:6" ht="39" customHeight="1">
      <c r="A13" s="81"/>
      <c r="B13" s="83" t="s">
        <v>425</v>
      </c>
      <c r="C13" s="116"/>
      <c r="D13" s="115"/>
      <c r="E13" s="115"/>
      <c r="F13" s="247"/>
    </row>
    <row r="14" spans="1:6" ht="40.5" customHeight="1" hidden="1">
      <c r="A14" s="81"/>
      <c r="B14" s="80" t="s">
        <v>430</v>
      </c>
      <c r="C14" s="116"/>
      <c r="D14" s="115"/>
      <c r="E14" s="115"/>
      <c r="F14" s="247">
        <f>D14*E14</f>
        <v>0</v>
      </c>
    </row>
    <row r="15" spans="1:6" ht="41.25" customHeight="1">
      <c r="A15" s="81"/>
      <c r="B15" s="80" t="s">
        <v>426</v>
      </c>
      <c r="C15" s="116"/>
      <c r="D15" s="115"/>
      <c r="E15" s="115"/>
      <c r="F15" s="247"/>
    </row>
    <row r="16" spans="1:6" ht="18" hidden="1">
      <c r="A16" s="81"/>
      <c r="B16" s="80"/>
      <c r="C16" s="116"/>
      <c r="D16" s="115"/>
      <c r="E16" s="115"/>
      <c r="F16" s="247"/>
    </row>
    <row r="17" spans="1:6" ht="49.5" customHeight="1">
      <c r="A17" s="81"/>
      <c r="B17" s="80" t="s">
        <v>427</v>
      </c>
      <c r="C17" s="116"/>
      <c r="D17" s="115"/>
      <c r="E17" s="115"/>
      <c r="F17" s="247"/>
    </row>
    <row r="18" spans="1:6" ht="18" hidden="1">
      <c r="A18" s="81"/>
      <c r="B18" s="80"/>
      <c r="C18" s="116"/>
      <c r="D18" s="115"/>
      <c r="E18" s="115"/>
      <c r="F18" s="247"/>
    </row>
    <row r="19" spans="1:6" ht="36.75" customHeight="1">
      <c r="A19" s="81"/>
      <c r="B19" s="80" t="s">
        <v>428</v>
      </c>
      <c r="C19" s="116"/>
      <c r="D19" s="115"/>
      <c r="E19" s="115"/>
      <c r="F19" s="247"/>
    </row>
    <row r="20" spans="1:6" ht="18" hidden="1">
      <c r="A20" s="81"/>
      <c r="B20" s="80"/>
      <c r="C20" s="116"/>
      <c r="D20" s="115"/>
      <c r="E20" s="115"/>
      <c r="F20" s="247"/>
    </row>
    <row r="21" spans="1:6" ht="21" customHeight="1">
      <c r="A21" s="211">
        <v>2</v>
      </c>
      <c r="B21" s="215" t="s">
        <v>262</v>
      </c>
      <c r="C21" s="295" t="s">
        <v>144</v>
      </c>
      <c r="D21" s="295" t="s">
        <v>365</v>
      </c>
      <c r="E21" s="295" t="s">
        <v>365</v>
      </c>
      <c r="F21" s="263"/>
    </row>
    <row r="22" spans="1:6" ht="18">
      <c r="A22" s="106">
        <v>3</v>
      </c>
      <c r="B22" s="222" t="s">
        <v>368</v>
      </c>
      <c r="C22" s="127" t="s">
        <v>144</v>
      </c>
      <c r="D22" s="113" t="s">
        <v>365</v>
      </c>
      <c r="E22" s="113" t="s">
        <v>365</v>
      </c>
      <c r="F22" s="247"/>
    </row>
    <row r="23" spans="1:6" ht="18">
      <c r="A23" s="106"/>
      <c r="B23" s="195">
        <v>0.1</v>
      </c>
      <c r="C23" s="127"/>
      <c r="D23" s="115"/>
      <c r="E23" s="115"/>
      <c r="F23" s="247"/>
    </row>
    <row r="24" spans="1:6" ht="18">
      <c r="A24" s="126"/>
      <c r="B24" s="195">
        <v>0.18</v>
      </c>
      <c r="C24" s="127" t="s">
        <v>144</v>
      </c>
      <c r="D24" s="115"/>
      <c r="E24" s="115"/>
      <c r="F24" s="247"/>
    </row>
    <row r="25" spans="1:6" ht="21.75" customHeight="1">
      <c r="A25" s="106">
        <v>4</v>
      </c>
      <c r="B25" s="223" t="s">
        <v>364</v>
      </c>
      <c r="C25" s="127"/>
      <c r="D25" s="115"/>
      <c r="E25" s="115"/>
      <c r="F25" s="247"/>
    </row>
    <row r="26" spans="1:6" s="330" customFormat="1" ht="18">
      <c r="A26" s="325"/>
      <c r="B26" s="326" t="s">
        <v>439</v>
      </c>
      <c r="C26" s="327"/>
      <c r="D26" s="328"/>
      <c r="E26" s="328"/>
      <c r="F26" s="329"/>
    </row>
    <row r="27" spans="1:6" ht="17.25">
      <c r="A27" s="75"/>
      <c r="B27" s="77" t="s">
        <v>145</v>
      </c>
      <c r="C27" s="116" t="s">
        <v>144</v>
      </c>
      <c r="D27" s="116" t="s">
        <v>144</v>
      </c>
      <c r="E27" s="116" t="s">
        <v>144</v>
      </c>
      <c r="F27" s="247">
        <f>SUM(F11:F26)</f>
        <v>0</v>
      </c>
    </row>
    <row r="28" spans="1:6" ht="14.25">
      <c r="A28" s="6"/>
      <c r="B28" s="6"/>
      <c r="C28" s="6"/>
      <c r="D28" s="6"/>
      <c r="E28" s="6"/>
      <c r="F28" s="262"/>
    </row>
    <row r="29" spans="1:6" ht="14.25">
      <c r="A29" s="6"/>
      <c r="B29" s="6"/>
      <c r="C29" s="6"/>
      <c r="D29" s="6"/>
      <c r="E29" s="6"/>
      <c r="F29" s="6"/>
    </row>
    <row r="30" spans="1:6" ht="18">
      <c r="A30" s="3"/>
      <c r="B30" s="3" t="s">
        <v>589</v>
      </c>
      <c r="C30" s="3"/>
      <c r="D30" s="3"/>
      <c r="E30" s="437" t="s">
        <v>590</v>
      </c>
      <c r="F30" s="6"/>
    </row>
    <row r="31" spans="1:6" ht="18">
      <c r="A31" s="3"/>
      <c r="B31" s="3" t="s">
        <v>606</v>
      </c>
      <c r="C31" s="3"/>
      <c r="D31" s="3"/>
      <c r="E31" s="437" t="s">
        <v>402</v>
      </c>
      <c r="F31" s="6"/>
    </row>
    <row r="32" spans="1:6" ht="18">
      <c r="A32" s="3"/>
      <c r="B32" s="3"/>
      <c r="C32" s="3"/>
      <c r="D32" s="3"/>
      <c r="E32" s="437"/>
      <c r="F32" s="6"/>
    </row>
    <row r="33" spans="1:6" ht="18">
      <c r="A33" s="3"/>
      <c r="B33" s="3" t="s">
        <v>408</v>
      </c>
      <c r="C33" s="3"/>
      <c r="D33" s="3"/>
      <c r="E33" s="437" t="s">
        <v>591</v>
      </c>
      <c r="F33" s="6"/>
    </row>
    <row r="34" spans="1:6" ht="18">
      <c r="A34" s="3"/>
      <c r="B34" s="3" t="s">
        <v>606</v>
      </c>
      <c r="C34" s="3"/>
      <c r="D34" s="3"/>
      <c r="E34" s="437" t="s">
        <v>402</v>
      </c>
      <c r="F34" s="6"/>
    </row>
    <row r="35" spans="1:6" ht="18">
      <c r="A35" s="3"/>
      <c r="B35" s="3"/>
      <c r="C35" s="3"/>
      <c r="D35" s="3"/>
      <c r="E35" s="3"/>
      <c r="F35" s="3"/>
    </row>
  </sheetData>
  <sheetProtection/>
  <mergeCells count="4">
    <mergeCell ref="A3:F3"/>
    <mergeCell ref="A4:F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9"/>
  <sheetViews>
    <sheetView view="pageBreakPreview" zoomScale="60" zoomScaleNormal="70" zoomScalePageLayoutView="0" workbookViewId="0" topLeftCell="A1">
      <selection activeCell="F12" sqref="F12"/>
    </sheetView>
  </sheetViews>
  <sheetFormatPr defaultColWidth="9.140625" defaultRowHeight="15"/>
  <cols>
    <col min="1" max="1" width="7.7109375" style="6" customWidth="1"/>
    <col min="2" max="2" width="69.421875" style="6" customWidth="1"/>
    <col min="3" max="3" width="15.28125" style="6" customWidth="1"/>
    <col min="4" max="4" width="18.00390625" style="6" customWidth="1"/>
    <col min="5" max="5" width="20.57421875" style="6" customWidth="1"/>
    <col min="6" max="6" width="39.7109375" style="6" customWidth="1"/>
    <col min="7" max="16384" width="9.140625" style="6" customWidth="1"/>
  </cols>
  <sheetData>
    <row r="1" spans="1:7" ht="18">
      <c r="A1" s="40"/>
      <c r="B1" s="40"/>
      <c r="C1" s="40"/>
      <c r="D1" s="40"/>
      <c r="E1" s="40"/>
      <c r="F1" s="11" t="s">
        <v>250</v>
      </c>
      <c r="G1" s="40"/>
    </row>
    <row r="2" spans="1:7" ht="18">
      <c r="A2" s="40"/>
      <c r="B2" s="40"/>
      <c r="C2" s="40"/>
      <c r="D2" s="40"/>
      <c r="E2" s="40"/>
      <c r="F2" s="109"/>
      <c r="G2" s="40"/>
    </row>
    <row r="3" spans="1:7" ht="18">
      <c r="A3" s="644" t="s">
        <v>189</v>
      </c>
      <c r="B3" s="664"/>
      <c r="C3" s="664"/>
      <c r="D3" s="664"/>
      <c r="E3" s="664"/>
      <c r="F3" s="664"/>
      <c r="G3" s="40"/>
    </row>
    <row r="4" spans="1:7" ht="18">
      <c r="A4" s="148"/>
      <c r="B4" s="632" t="s">
        <v>596</v>
      </c>
      <c r="C4" s="632"/>
      <c r="D4" s="632"/>
      <c r="E4" s="632"/>
      <c r="F4" s="632"/>
      <c r="G4" s="40"/>
    </row>
    <row r="5" spans="1:7" ht="18">
      <c r="A5" s="148"/>
      <c r="B5" s="665" t="s">
        <v>344</v>
      </c>
      <c r="C5" s="665"/>
      <c r="D5" s="665"/>
      <c r="E5" s="665"/>
      <c r="F5" s="665"/>
      <c r="G5" s="40"/>
    </row>
    <row r="6" spans="1:6" s="70" customFormat="1" ht="27.75">
      <c r="A6" s="84"/>
      <c r="B6" s="632" t="s">
        <v>634</v>
      </c>
      <c r="C6" s="632"/>
      <c r="D6" s="632"/>
      <c r="E6" s="632"/>
      <c r="F6" s="632"/>
    </row>
    <row r="7" spans="1:6" s="70" customFormat="1" ht="24.75" customHeight="1">
      <c r="A7" s="84"/>
      <c r="B7" s="665" t="s">
        <v>252</v>
      </c>
      <c r="C7" s="665"/>
      <c r="D7" s="665"/>
      <c r="E7" s="665"/>
      <c r="F7" s="665"/>
    </row>
    <row r="8" spans="1:7" ht="18">
      <c r="A8" s="84"/>
      <c r="B8" s="40"/>
      <c r="C8" s="40"/>
      <c r="D8" s="40"/>
      <c r="E8" s="40"/>
      <c r="F8" s="40"/>
      <c r="G8" s="40"/>
    </row>
    <row r="9" spans="1:7" s="1" customFormat="1" ht="36">
      <c r="A9" s="151" t="s">
        <v>157</v>
      </c>
      <c r="B9" s="151" t="s">
        <v>156</v>
      </c>
      <c r="C9" s="151" t="s">
        <v>188</v>
      </c>
      <c r="D9" s="158" t="s">
        <v>187</v>
      </c>
      <c r="E9" s="151" t="s">
        <v>186</v>
      </c>
      <c r="F9" s="151" t="s">
        <v>36</v>
      </c>
      <c r="G9" s="3"/>
    </row>
    <row r="10" spans="1:6" s="1" customFormat="1" ht="1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 t="s">
        <v>249</v>
      </c>
    </row>
    <row r="11" spans="1:7" s="1" customFormat="1" ht="54" customHeight="1">
      <c r="A11" s="81"/>
      <c r="B11" s="96" t="s">
        <v>369</v>
      </c>
      <c r="C11" s="43"/>
      <c r="D11" s="43"/>
      <c r="E11" s="172"/>
      <c r="F11" s="246">
        <f>C11*D11*E11</f>
        <v>0</v>
      </c>
      <c r="G11" s="3"/>
    </row>
    <row r="12" spans="1:7" s="1" customFormat="1" ht="54" customHeight="1">
      <c r="A12" s="81"/>
      <c r="B12" s="96" t="s">
        <v>370</v>
      </c>
      <c r="C12" s="43"/>
      <c r="D12" s="43"/>
      <c r="E12" s="172"/>
      <c r="F12" s="246">
        <f>C12*D12*E12</f>
        <v>0</v>
      </c>
      <c r="G12" s="3"/>
    </row>
    <row r="13" spans="1:7" s="1" customFormat="1" ht="33.75" customHeight="1">
      <c r="A13" s="78"/>
      <c r="B13" s="96" t="s">
        <v>185</v>
      </c>
      <c r="C13" s="43"/>
      <c r="D13" s="43"/>
      <c r="E13" s="172"/>
      <c r="F13" s="246">
        <f>(C13*D13*E13)</f>
        <v>0</v>
      </c>
      <c r="G13" s="3"/>
    </row>
    <row r="14" spans="1:7" s="1" customFormat="1" ht="36">
      <c r="A14" s="78"/>
      <c r="B14" s="96" t="s">
        <v>184</v>
      </c>
      <c r="C14" s="43"/>
      <c r="D14" s="43"/>
      <c r="E14" s="172"/>
      <c r="F14" s="246">
        <f aca="true" t="shared" si="0" ref="F14:F19">C14*D14*E14</f>
        <v>0</v>
      </c>
      <c r="G14" s="3"/>
    </row>
    <row r="15" spans="1:7" s="1" customFormat="1" ht="41.25" customHeight="1">
      <c r="A15" s="78"/>
      <c r="B15" s="96" t="s">
        <v>183</v>
      </c>
      <c r="C15" s="43"/>
      <c r="D15" s="43"/>
      <c r="E15" s="172"/>
      <c r="F15" s="246">
        <f t="shared" si="0"/>
        <v>0</v>
      </c>
      <c r="G15" s="3"/>
    </row>
    <row r="16" spans="1:7" s="1" customFormat="1" ht="38.25" customHeight="1">
      <c r="A16" s="78"/>
      <c r="B16" s="96" t="s">
        <v>182</v>
      </c>
      <c r="C16" s="43"/>
      <c r="D16" s="43"/>
      <c r="E16" s="172"/>
      <c r="F16" s="246">
        <f t="shared" si="0"/>
        <v>0</v>
      </c>
      <c r="G16" s="3"/>
    </row>
    <row r="17" spans="1:7" s="1" customFormat="1" ht="39.75" customHeight="1">
      <c r="A17" s="78"/>
      <c r="B17" s="96" t="s">
        <v>372</v>
      </c>
      <c r="C17" s="43"/>
      <c r="D17" s="43"/>
      <c r="E17" s="172"/>
      <c r="F17" s="246">
        <f t="shared" si="0"/>
        <v>0</v>
      </c>
      <c r="G17" s="3"/>
    </row>
    <row r="18" spans="1:7" s="1" customFormat="1" ht="18">
      <c r="A18" s="78"/>
      <c r="B18" s="43" t="s">
        <v>371</v>
      </c>
      <c r="C18" s="43"/>
      <c r="D18" s="43"/>
      <c r="E18" s="172"/>
      <c r="F18" s="246">
        <f t="shared" si="0"/>
        <v>0</v>
      </c>
      <c r="G18" s="3"/>
    </row>
    <row r="19" spans="1:7" s="1" customFormat="1" ht="18" hidden="1">
      <c r="A19" s="78"/>
      <c r="B19" s="43"/>
      <c r="C19" s="43"/>
      <c r="D19" s="43"/>
      <c r="E19" s="172"/>
      <c r="F19" s="246">
        <f t="shared" si="0"/>
        <v>0</v>
      </c>
      <c r="G19" s="3"/>
    </row>
    <row r="20" spans="1:7" s="1" customFormat="1" ht="18" hidden="1">
      <c r="A20" s="78"/>
      <c r="B20" s="43"/>
      <c r="C20" s="43"/>
      <c r="D20" s="43"/>
      <c r="E20" s="172"/>
      <c r="F20" s="246"/>
      <c r="G20" s="3"/>
    </row>
    <row r="21" spans="1:7" s="1" customFormat="1" ht="18" hidden="1">
      <c r="A21" s="78"/>
      <c r="B21" s="43"/>
      <c r="C21" s="43"/>
      <c r="D21" s="43"/>
      <c r="E21" s="172"/>
      <c r="F21" s="246">
        <f>C21*D21*E21</f>
        <v>0</v>
      </c>
      <c r="G21" s="3"/>
    </row>
    <row r="22" spans="1:7" s="1" customFormat="1" ht="18">
      <c r="A22" s="78"/>
      <c r="B22" s="77" t="s">
        <v>145</v>
      </c>
      <c r="C22" s="100" t="s">
        <v>144</v>
      </c>
      <c r="D22" s="100" t="s">
        <v>144</v>
      </c>
      <c r="E22" s="100" t="s">
        <v>144</v>
      </c>
      <c r="F22" s="247">
        <f>SUM(F11:F21)</f>
        <v>0</v>
      </c>
      <c r="G22" s="3"/>
    </row>
    <row r="23" spans="1:7" s="1" customFormat="1" ht="18">
      <c r="A23" s="3"/>
      <c r="B23" s="3"/>
      <c r="C23" s="3"/>
      <c r="D23" s="3"/>
      <c r="E23" s="3"/>
      <c r="F23" s="3"/>
      <c r="G23" s="3"/>
    </row>
    <row r="24" spans="2:5" s="1" customFormat="1" ht="18">
      <c r="B24" s="3" t="s">
        <v>589</v>
      </c>
      <c r="C24" s="3"/>
      <c r="D24" s="379"/>
      <c r="E24" s="380" t="s">
        <v>590</v>
      </c>
    </row>
    <row r="25" spans="2:6" s="36" customFormat="1" ht="18">
      <c r="B25" s="1" t="s">
        <v>606</v>
      </c>
      <c r="C25" s="3"/>
      <c r="D25" s="437"/>
      <c r="E25" s="381" t="s">
        <v>402</v>
      </c>
      <c r="F25" s="66"/>
    </row>
    <row r="26" spans="2:5" s="1" customFormat="1" ht="18">
      <c r="B26" s="3"/>
      <c r="C26" s="3"/>
      <c r="D26" s="437"/>
      <c r="E26" s="380"/>
    </row>
    <row r="27" spans="2:5" s="1" customFormat="1" ht="18">
      <c r="B27" s="3" t="s">
        <v>408</v>
      </c>
      <c r="C27" s="3"/>
      <c r="D27" s="379"/>
      <c r="E27" s="380" t="s">
        <v>591</v>
      </c>
    </row>
    <row r="28" spans="2:5" s="1" customFormat="1" ht="18">
      <c r="B28" s="1" t="s">
        <v>606</v>
      </c>
      <c r="C28" s="3"/>
      <c r="D28" s="437"/>
      <c r="E28" s="380" t="s">
        <v>402</v>
      </c>
    </row>
    <row r="29" spans="2:4" s="1" customFormat="1" ht="18">
      <c r="B29" s="3"/>
      <c r="C29" s="3"/>
      <c r="D29" s="3"/>
    </row>
  </sheetData>
  <sheetProtection/>
  <mergeCells count="5">
    <mergeCell ref="A3:F3"/>
    <mergeCell ref="B6:F6"/>
    <mergeCell ref="B7:F7"/>
    <mergeCell ref="B4:F4"/>
    <mergeCell ref="B5:F5"/>
  </mergeCells>
  <printOptions/>
  <pageMargins left="0.7086614173228347" right="0.31496062992125984" top="0.35433070866141736" bottom="0.3937007874015748" header="0.31496062992125984" footer="0.31496062992125984"/>
  <pageSetup fitToHeight="1" fitToWidth="1"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34"/>
  <sheetViews>
    <sheetView view="pageBreakPreview" zoomScale="60" zoomScalePageLayoutView="0" workbookViewId="0" topLeftCell="A4">
      <selection activeCell="E25" sqref="E25"/>
    </sheetView>
  </sheetViews>
  <sheetFormatPr defaultColWidth="9.140625" defaultRowHeight="15"/>
  <cols>
    <col min="1" max="1" width="6.421875" style="3" customWidth="1"/>
    <col min="2" max="2" width="66.421875" style="3" customWidth="1"/>
    <col min="3" max="3" width="26.8515625" style="3" customWidth="1"/>
    <col min="4" max="4" width="21.7109375" style="3" customWidth="1"/>
    <col min="5" max="5" width="40.28125" style="3" customWidth="1"/>
    <col min="6" max="6" width="13.00390625" style="3" hidden="1" customWidth="1"/>
    <col min="7" max="16384" width="8.8515625" style="3" customWidth="1"/>
  </cols>
  <sheetData>
    <row r="1" ht="18">
      <c r="E1" s="11" t="s">
        <v>110</v>
      </c>
    </row>
    <row r="3" spans="1:5" ht="18">
      <c r="A3" s="644" t="s">
        <v>169</v>
      </c>
      <c r="B3" s="644"/>
      <c r="C3" s="644"/>
      <c r="D3" s="644"/>
      <c r="E3" s="644"/>
    </row>
    <row r="4" spans="1:5" ht="35.25" customHeight="1">
      <c r="A4" s="148"/>
      <c r="B4" s="645" t="s">
        <v>716</v>
      </c>
      <c r="C4" s="645"/>
      <c r="D4" s="645"/>
      <c r="E4" s="645"/>
    </row>
    <row r="5" spans="1:5" ht="18">
      <c r="A5" s="148"/>
      <c r="B5" s="633" t="s">
        <v>344</v>
      </c>
      <c r="C5" s="633"/>
      <c r="D5" s="633"/>
      <c r="E5" s="633"/>
    </row>
    <row r="6" spans="1:5" s="70" customFormat="1" ht="39" customHeight="1">
      <c r="A6" s="84"/>
      <c r="B6" s="645" t="s">
        <v>728</v>
      </c>
      <c r="C6" s="645"/>
      <c r="D6" s="645"/>
      <c r="E6" s="645"/>
    </row>
    <row r="7" spans="1:5" s="70" customFormat="1" ht="24.75" customHeight="1">
      <c r="A7" s="84"/>
      <c r="B7" s="646" t="s">
        <v>252</v>
      </c>
      <c r="C7" s="646"/>
      <c r="D7" s="646"/>
      <c r="E7" s="646"/>
    </row>
    <row r="8" ht="18">
      <c r="A8" s="82"/>
    </row>
    <row r="9" spans="1:5" s="61" customFormat="1" ht="56.25" customHeight="1">
      <c r="A9" s="144" t="s">
        <v>157</v>
      </c>
      <c r="B9" s="144" t="s">
        <v>20</v>
      </c>
      <c r="C9" s="164" t="s">
        <v>168</v>
      </c>
      <c r="D9" s="164" t="s">
        <v>246</v>
      </c>
      <c r="E9" s="164" t="s">
        <v>247</v>
      </c>
    </row>
    <row r="10" spans="1:5" ht="16.5" customHeight="1">
      <c r="A10" s="165">
        <v>1</v>
      </c>
      <c r="B10" s="165">
        <v>2</v>
      </c>
      <c r="C10" s="165">
        <v>3</v>
      </c>
      <c r="D10" s="165">
        <v>4</v>
      </c>
      <c r="E10" s="165">
        <v>5</v>
      </c>
    </row>
    <row r="11" spans="1:6" ht="24" customHeight="1">
      <c r="A11" s="2">
        <v>1</v>
      </c>
      <c r="B11" s="23" t="s">
        <v>167</v>
      </c>
      <c r="C11" s="316">
        <v>2128</v>
      </c>
      <c r="D11" s="169">
        <v>7.77</v>
      </c>
      <c r="E11" s="169">
        <f aca="true" t="shared" si="0" ref="E11:E18">C11*D11</f>
        <v>16534.559999999998</v>
      </c>
      <c r="F11" s="3">
        <v>22852.95</v>
      </c>
    </row>
    <row r="12" spans="1:6" ht="23.25" customHeight="1">
      <c r="A12" s="2">
        <v>2</v>
      </c>
      <c r="B12" s="23" t="s">
        <v>166</v>
      </c>
      <c r="C12" s="442">
        <v>3.873</v>
      </c>
      <c r="D12" s="169">
        <v>2845.71</v>
      </c>
      <c r="E12" s="169">
        <f t="shared" si="0"/>
        <v>11021.43483</v>
      </c>
      <c r="F12" s="3">
        <v>31497.6</v>
      </c>
    </row>
    <row r="13" spans="1:5" ht="26.25" customHeight="1">
      <c r="A13" s="2">
        <v>3</v>
      </c>
      <c r="B13" s="23" t="s">
        <v>165</v>
      </c>
      <c r="C13" s="2"/>
      <c r="D13" s="169"/>
      <c r="E13" s="169">
        <f t="shared" si="0"/>
        <v>0</v>
      </c>
    </row>
    <row r="14" spans="1:5" ht="26.25" customHeight="1">
      <c r="A14" s="2">
        <v>4</v>
      </c>
      <c r="B14" s="23" t="s">
        <v>164</v>
      </c>
      <c r="C14" s="316">
        <v>24.11</v>
      </c>
      <c r="D14" s="169">
        <v>121.33</v>
      </c>
      <c r="E14" s="169">
        <f t="shared" si="0"/>
        <v>2925.2663</v>
      </c>
    </row>
    <row r="15" spans="1:6" ht="26.25" customHeight="1">
      <c r="A15" s="2">
        <v>5</v>
      </c>
      <c r="B15" s="23" t="s">
        <v>163</v>
      </c>
      <c r="C15" s="316"/>
      <c r="D15" s="169"/>
      <c r="E15" s="169">
        <f t="shared" si="0"/>
        <v>0</v>
      </c>
      <c r="F15" s="3">
        <v>3403.71</v>
      </c>
    </row>
    <row r="16" spans="1:5" ht="26.25" customHeight="1">
      <c r="A16" s="2">
        <v>6</v>
      </c>
      <c r="B16" s="23" t="s">
        <v>162</v>
      </c>
      <c r="C16" s="316">
        <v>24.11</v>
      </c>
      <c r="D16" s="169">
        <v>56.282</v>
      </c>
      <c r="E16" s="169">
        <f t="shared" si="0"/>
        <v>1356.9590199999998</v>
      </c>
    </row>
    <row r="17" spans="1:5" ht="26.25" customHeight="1">
      <c r="A17" s="2">
        <v>7</v>
      </c>
      <c r="B17" s="23" t="s">
        <v>161</v>
      </c>
      <c r="C17" s="2"/>
      <c r="D17" s="169"/>
      <c r="E17" s="169">
        <f t="shared" si="0"/>
        <v>0</v>
      </c>
    </row>
    <row r="18" spans="1:5" ht="26.25" customHeight="1">
      <c r="A18" s="2">
        <v>8</v>
      </c>
      <c r="B18" s="23" t="s">
        <v>160</v>
      </c>
      <c r="C18" s="2">
        <v>0.077</v>
      </c>
      <c r="D18" s="169">
        <f>7.237*1000</f>
        <v>7237</v>
      </c>
      <c r="E18" s="169">
        <f t="shared" si="0"/>
        <v>557.249</v>
      </c>
    </row>
    <row r="19" spans="1:5" ht="26.25" customHeight="1" hidden="1">
      <c r="A19" s="2"/>
      <c r="B19" s="23"/>
      <c r="C19" s="2"/>
      <c r="D19" s="169"/>
      <c r="E19" s="169"/>
    </row>
    <row r="20" spans="1:5" ht="18" hidden="1">
      <c r="A20" s="2"/>
      <c r="B20" s="2"/>
      <c r="C20" s="2"/>
      <c r="D20" s="169"/>
      <c r="E20" s="169"/>
    </row>
    <row r="21" spans="1:5" s="61" customFormat="1" ht="21.75" customHeight="1">
      <c r="A21" s="166"/>
      <c r="B21" s="167" t="s">
        <v>145</v>
      </c>
      <c r="C21" s="144" t="s">
        <v>144</v>
      </c>
      <c r="D21" s="144" t="s">
        <v>144</v>
      </c>
      <c r="E21" s="168">
        <f>SUM(E11:E20)</f>
        <v>32395.469149999994</v>
      </c>
    </row>
    <row r="24" spans="2:5" ht="18">
      <c r="B24" s="3" t="s">
        <v>589</v>
      </c>
      <c r="E24" s="3" t="s">
        <v>753</v>
      </c>
    </row>
    <row r="25" spans="2:5" ht="18">
      <c r="B25" s="1" t="s">
        <v>606</v>
      </c>
      <c r="E25" s="3" t="s">
        <v>402</v>
      </c>
    </row>
    <row r="27" spans="2:5" ht="18">
      <c r="B27" s="3" t="s">
        <v>408</v>
      </c>
      <c r="E27" s="3" t="s">
        <v>591</v>
      </c>
    </row>
    <row r="28" spans="2:5" ht="18">
      <c r="B28" s="1" t="s">
        <v>606</v>
      </c>
      <c r="E28" s="3" t="s">
        <v>402</v>
      </c>
    </row>
    <row r="29" ht="18">
      <c r="B29" s="1"/>
    </row>
    <row r="31" ht="18">
      <c r="B31" s="1"/>
    </row>
    <row r="34" ht="18">
      <c r="B34" s="1"/>
    </row>
  </sheetData>
  <sheetProtection/>
  <mergeCells count="5">
    <mergeCell ref="A3:E3"/>
    <mergeCell ref="B6:E6"/>
    <mergeCell ref="B7:E7"/>
    <mergeCell ref="B4:E4"/>
    <mergeCell ref="B5:E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1"/>
  <sheetViews>
    <sheetView view="pageBreakPreview" zoomScale="60" zoomScalePageLayoutView="0" workbookViewId="0" topLeftCell="A10">
      <selection activeCell="D48" sqref="D48"/>
    </sheetView>
  </sheetViews>
  <sheetFormatPr defaultColWidth="9.140625" defaultRowHeight="15"/>
  <cols>
    <col min="2" max="2" width="49.7109375" style="0" customWidth="1"/>
    <col min="3" max="3" width="21.8515625" style="0" customWidth="1"/>
    <col min="4" max="4" width="22.8515625" style="0" customWidth="1"/>
    <col min="5" max="5" width="21.7109375" style="0" customWidth="1"/>
    <col min="6" max="6" width="25.7109375" style="0" customWidth="1"/>
  </cols>
  <sheetData>
    <row r="1" spans="1:6" ht="18">
      <c r="A1" s="6"/>
      <c r="B1" s="6"/>
      <c r="C1" s="6"/>
      <c r="D1" s="6"/>
      <c r="E1" s="6"/>
      <c r="F1" s="11" t="s">
        <v>255</v>
      </c>
    </row>
    <row r="2" spans="1:6" ht="14.25">
      <c r="A2" s="6"/>
      <c r="B2" s="6"/>
      <c r="C2" s="6"/>
      <c r="D2" s="6"/>
      <c r="E2" s="6"/>
      <c r="F2" s="6"/>
    </row>
    <row r="3" spans="1:6" ht="17.25">
      <c r="A3" s="644" t="s">
        <v>211</v>
      </c>
      <c r="B3" s="644"/>
      <c r="C3" s="644"/>
      <c r="D3" s="644"/>
      <c r="E3" s="644"/>
      <c r="F3" s="644"/>
    </row>
    <row r="4" spans="1:6" ht="18">
      <c r="A4" s="660" t="s">
        <v>716</v>
      </c>
      <c r="B4" s="660"/>
      <c r="C4" s="660"/>
      <c r="D4" s="660"/>
      <c r="E4" s="660"/>
      <c r="F4" s="660"/>
    </row>
    <row r="5" spans="1:6" ht="15">
      <c r="A5" s="646" t="s">
        <v>344</v>
      </c>
      <c r="B5" s="646"/>
      <c r="C5" s="646"/>
      <c r="D5" s="646"/>
      <c r="E5" s="646"/>
      <c r="F5" s="646"/>
    </row>
    <row r="6" spans="1:6" ht="40.5" customHeight="1">
      <c r="A6" s="660" t="s">
        <v>728</v>
      </c>
      <c r="B6" s="660"/>
      <c r="C6" s="660"/>
      <c r="D6" s="660"/>
      <c r="E6" s="660"/>
      <c r="F6" s="660"/>
    </row>
    <row r="7" spans="1:6" ht="15">
      <c r="A7" s="665" t="s">
        <v>252</v>
      </c>
      <c r="B7" s="665"/>
      <c r="C7" s="665"/>
      <c r="D7" s="665"/>
      <c r="E7" s="665"/>
      <c r="F7" s="665"/>
    </row>
    <row r="8" spans="1:6" ht="15">
      <c r="A8" s="6"/>
      <c r="B8" s="1"/>
      <c r="C8" s="6"/>
      <c r="D8" s="6"/>
      <c r="E8" s="6"/>
      <c r="F8" s="6"/>
    </row>
    <row r="9" spans="1:6" ht="17.25">
      <c r="A9" s="583" t="s">
        <v>157</v>
      </c>
      <c r="B9" s="583" t="s">
        <v>156</v>
      </c>
      <c r="C9" s="666" t="s">
        <v>253</v>
      </c>
      <c r="D9" s="667"/>
      <c r="E9" s="666" t="s">
        <v>254</v>
      </c>
      <c r="F9" s="667"/>
    </row>
    <row r="10" spans="1:6" ht="36">
      <c r="A10" s="583"/>
      <c r="B10" s="583"/>
      <c r="C10" s="310" t="s">
        <v>210</v>
      </c>
      <c r="D10" s="310" t="s">
        <v>209</v>
      </c>
      <c r="E10" s="310" t="s">
        <v>210</v>
      </c>
      <c r="F10" s="310" t="s">
        <v>209</v>
      </c>
    </row>
    <row r="11" spans="1:6" ht="18">
      <c r="A11" s="310">
        <v>1</v>
      </c>
      <c r="B11" s="310">
        <v>2</v>
      </c>
      <c r="C11" s="42">
        <v>3</v>
      </c>
      <c r="D11" s="42">
        <v>4</v>
      </c>
      <c r="E11" s="42">
        <v>5</v>
      </c>
      <c r="F11" s="42">
        <v>6</v>
      </c>
    </row>
    <row r="12" spans="1:6" ht="39" customHeight="1">
      <c r="A12" s="87">
        <v>1</v>
      </c>
      <c r="B12" s="79" t="s">
        <v>208</v>
      </c>
      <c r="C12" s="91" t="s">
        <v>144</v>
      </c>
      <c r="D12" s="173">
        <f>SUM(D14:D19)</f>
        <v>0</v>
      </c>
      <c r="E12" s="42" t="s">
        <v>144</v>
      </c>
      <c r="F12" s="246">
        <f>F15</f>
        <v>1524.87</v>
      </c>
    </row>
    <row r="13" spans="1:6" ht="19.5" customHeight="1">
      <c r="A13" s="299"/>
      <c r="B13" s="79" t="s">
        <v>40</v>
      </c>
      <c r="C13" s="190"/>
      <c r="D13" s="176"/>
      <c r="E13" s="190"/>
      <c r="F13" s="260"/>
    </row>
    <row r="14" spans="1:6" ht="23.25" customHeight="1" hidden="1">
      <c r="A14" s="299"/>
      <c r="B14" s="79" t="s">
        <v>207</v>
      </c>
      <c r="C14" s="190"/>
      <c r="D14" s="176"/>
      <c r="E14" s="190"/>
      <c r="F14" s="260"/>
    </row>
    <row r="15" spans="1:7" ht="45.75" customHeight="1">
      <c r="A15" s="299"/>
      <c r="B15" s="79" t="s">
        <v>206</v>
      </c>
      <c r="C15" s="190"/>
      <c r="D15" s="176"/>
      <c r="E15" s="190">
        <v>1</v>
      </c>
      <c r="F15" s="260">
        <v>1524.87</v>
      </c>
      <c r="G15">
        <v>177.9</v>
      </c>
    </row>
    <row r="16" spans="1:6" ht="57" customHeight="1" hidden="1">
      <c r="A16" s="299"/>
      <c r="B16" s="79" t="s">
        <v>206</v>
      </c>
      <c r="C16" s="190"/>
      <c r="D16" s="176"/>
      <c r="E16" s="190"/>
      <c r="F16" s="260"/>
    </row>
    <row r="17" spans="1:6" ht="96" customHeight="1" hidden="1">
      <c r="A17" s="299"/>
      <c r="B17" s="79" t="s">
        <v>206</v>
      </c>
      <c r="C17" s="190"/>
      <c r="D17" s="176"/>
      <c r="E17" s="190"/>
      <c r="F17" s="260"/>
    </row>
    <row r="18" spans="1:6" ht="36" hidden="1">
      <c r="A18" s="299"/>
      <c r="B18" s="79" t="s">
        <v>206</v>
      </c>
      <c r="C18" s="190"/>
      <c r="D18" s="176"/>
      <c r="E18" s="190"/>
      <c r="F18" s="260"/>
    </row>
    <row r="19" spans="1:6" ht="36" hidden="1">
      <c r="A19" s="299"/>
      <c r="B19" s="79" t="s">
        <v>206</v>
      </c>
      <c r="C19" s="190"/>
      <c r="D19" s="176"/>
      <c r="E19" s="190"/>
      <c r="F19" s="260"/>
    </row>
    <row r="20" spans="1:8" ht="40.5" customHeight="1">
      <c r="A20" s="87">
        <v>3</v>
      </c>
      <c r="B20" s="79" t="s">
        <v>203</v>
      </c>
      <c r="C20" s="91" t="s">
        <v>144</v>
      </c>
      <c r="D20" s="176">
        <f>SUM(D22:D25)</f>
        <v>0</v>
      </c>
      <c r="E20" s="91" t="s">
        <v>144</v>
      </c>
      <c r="F20" s="260">
        <f>F32</f>
        <v>0</v>
      </c>
      <c r="G20">
        <v>3840</v>
      </c>
      <c r="H20" t="s">
        <v>510</v>
      </c>
    </row>
    <row r="21" spans="1:6" ht="18.75" customHeight="1">
      <c r="A21" s="299"/>
      <c r="B21" s="79" t="s">
        <v>40</v>
      </c>
      <c r="C21" s="190"/>
      <c r="D21" s="176"/>
      <c r="E21" s="190"/>
      <c r="F21" s="260"/>
    </row>
    <row r="22" spans="1:6" ht="56.25" customHeight="1" hidden="1">
      <c r="A22" s="299"/>
      <c r="B22" s="79" t="s">
        <v>202</v>
      </c>
      <c r="C22" s="190"/>
      <c r="D22" s="176"/>
      <c r="E22" s="190"/>
      <c r="F22" s="260"/>
    </row>
    <row r="23" spans="1:6" ht="21.75" customHeight="1" hidden="1">
      <c r="A23" s="299"/>
      <c r="B23" s="79" t="s">
        <v>201</v>
      </c>
      <c r="C23" s="190"/>
      <c r="D23" s="176"/>
      <c r="E23" s="190">
        <v>0</v>
      </c>
      <c r="F23" s="260">
        <v>0</v>
      </c>
    </row>
    <row r="24" spans="1:6" ht="18" hidden="1">
      <c r="A24" s="299"/>
      <c r="B24" s="79"/>
      <c r="C24" s="190"/>
      <c r="D24" s="176"/>
      <c r="E24" s="190"/>
      <c r="F24" s="260"/>
    </row>
    <row r="25" spans="1:6" ht="18" hidden="1">
      <c r="A25" s="299"/>
      <c r="B25" s="180"/>
      <c r="C25" s="190"/>
      <c r="D25" s="176"/>
      <c r="E25" s="190"/>
      <c r="F25" s="260"/>
    </row>
    <row r="26" spans="1:6" ht="36" customHeight="1" hidden="1">
      <c r="A26" s="91">
        <v>3</v>
      </c>
      <c r="B26" s="78" t="s">
        <v>200</v>
      </c>
      <c r="C26" s="91" t="s">
        <v>144</v>
      </c>
      <c r="D26" s="176">
        <f>SUM(D28:D31)</f>
        <v>0</v>
      </c>
      <c r="E26" s="91" t="s">
        <v>144</v>
      </c>
      <c r="F26" s="260">
        <f>SUM(F28:F31)</f>
        <v>0</v>
      </c>
    </row>
    <row r="27" spans="1:6" ht="18" hidden="1">
      <c r="A27" s="299"/>
      <c r="B27" s="79" t="s">
        <v>40</v>
      </c>
      <c r="C27" s="190"/>
      <c r="D27" s="176"/>
      <c r="E27" s="190"/>
      <c r="F27" s="260"/>
    </row>
    <row r="28" spans="1:6" ht="45" customHeight="1" hidden="1">
      <c r="A28" s="299"/>
      <c r="B28" s="83" t="s">
        <v>199</v>
      </c>
      <c r="C28" s="190"/>
      <c r="D28" s="176"/>
      <c r="E28" s="190">
        <v>1</v>
      </c>
      <c r="F28" s="260">
        <v>0</v>
      </c>
    </row>
    <row r="29" spans="1:6" ht="42.75" customHeight="1" hidden="1">
      <c r="A29" s="299"/>
      <c r="B29" s="83" t="s">
        <v>198</v>
      </c>
      <c r="C29" s="190"/>
      <c r="D29" s="176"/>
      <c r="E29" s="190"/>
      <c r="F29" s="260"/>
    </row>
    <row r="30" spans="1:6" ht="18" hidden="1">
      <c r="A30" s="299"/>
      <c r="B30" s="80"/>
      <c r="C30" s="190"/>
      <c r="D30" s="176"/>
      <c r="E30" s="190"/>
      <c r="F30" s="260"/>
    </row>
    <row r="31" spans="1:6" ht="18" hidden="1">
      <c r="A31" s="299"/>
      <c r="B31" s="80"/>
      <c r="C31" s="190"/>
      <c r="D31" s="176"/>
      <c r="E31" s="190"/>
      <c r="F31" s="260"/>
    </row>
    <row r="32" spans="1:6" s="6" customFormat="1" ht="18">
      <c r="A32" s="299"/>
      <c r="B32" s="79" t="s">
        <v>516</v>
      </c>
      <c r="C32" s="190"/>
      <c r="D32" s="176"/>
      <c r="E32" s="190"/>
      <c r="F32" s="260"/>
    </row>
    <row r="33" spans="1:6" ht="25.5" customHeight="1">
      <c r="A33" s="87">
        <v>4</v>
      </c>
      <c r="B33" s="80" t="s">
        <v>197</v>
      </c>
      <c r="C33" s="91" t="s">
        <v>144</v>
      </c>
      <c r="D33" s="176">
        <f>SUM(D36:D40)</f>
        <v>0</v>
      </c>
      <c r="E33" s="91" t="s">
        <v>144</v>
      </c>
      <c r="F33" s="260">
        <f>SUM(F35:F36)</f>
        <v>0</v>
      </c>
    </row>
    <row r="34" spans="1:6" ht="18">
      <c r="A34" s="299"/>
      <c r="B34" s="80" t="s">
        <v>40</v>
      </c>
      <c r="C34" s="190"/>
      <c r="D34" s="176"/>
      <c r="E34" s="190"/>
      <c r="F34" s="260"/>
    </row>
    <row r="35" spans="1:6" ht="26.25" customHeight="1">
      <c r="A35" s="299"/>
      <c r="B35" s="80" t="s">
        <v>443</v>
      </c>
      <c r="C35" s="190"/>
      <c r="D35" s="176"/>
      <c r="E35" s="190">
        <v>6</v>
      </c>
      <c r="F35" s="260"/>
    </row>
    <row r="36" spans="1:6" ht="18" hidden="1">
      <c r="A36" s="299"/>
      <c r="B36" s="80"/>
      <c r="C36" s="190"/>
      <c r="D36" s="176"/>
      <c r="E36" s="190"/>
      <c r="F36" s="260"/>
    </row>
    <row r="37" spans="1:6" ht="52.5" customHeight="1">
      <c r="A37" s="87">
        <v>5</v>
      </c>
      <c r="B37" s="80" t="s">
        <v>359</v>
      </c>
      <c r="C37" s="190"/>
      <c r="D37" s="176"/>
      <c r="E37" s="190"/>
      <c r="F37" s="260">
        <f>SUM(F39:F43)</f>
        <v>2730</v>
      </c>
    </row>
    <row r="38" spans="1:6" ht="18">
      <c r="A38" s="299"/>
      <c r="B38" s="80" t="s">
        <v>40</v>
      </c>
      <c r="C38" s="190"/>
      <c r="D38" s="176"/>
      <c r="E38" s="190"/>
      <c r="F38" s="260"/>
    </row>
    <row r="39" spans="1:6" ht="22.5" customHeight="1">
      <c r="A39" s="299"/>
      <c r="B39" s="80" t="s">
        <v>517</v>
      </c>
      <c r="C39" s="190"/>
      <c r="D39" s="176"/>
      <c r="E39" s="190"/>
      <c r="F39" s="260"/>
    </row>
    <row r="40" spans="1:6" ht="42.75" customHeight="1">
      <c r="A40" s="299"/>
      <c r="B40" s="80" t="s">
        <v>518</v>
      </c>
      <c r="C40" s="190"/>
      <c r="D40" s="176"/>
      <c r="E40" s="190"/>
      <c r="F40" s="260">
        <v>2730</v>
      </c>
    </row>
    <row r="41" spans="1:6" s="6" customFormat="1" ht="20.25" customHeight="1">
      <c r="A41" s="299"/>
      <c r="B41" s="80" t="s">
        <v>519</v>
      </c>
      <c r="C41" s="190"/>
      <c r="D41" s="176"/>
      <c r="E41" s="190"/>
      <c r="F41" s="260"/>
    </row>
    <row r="42" spans="1:6" s="6" customFormat="1" ht="28.5" customHeight="1">
      <c r="A42" s="299"/>
      <c r="B42" s="80" t="s">
        <v>560</v>
      </c>
      <c r="C42" s="190"/>
      <c r="D42" s="176"/>
      <c r="E42" s="190"/>
      <c r="F42" s="260"/>
    </row>
    <row r="43" spans="1:6" s="6" customFormat="1" ht="27" customHeight="1">
      <c r="A43" s="299"/>
      <c r="B43" s="80" t="s">
        <v>561</v>
      </c>
      <c r="C43" s="190"/>
      <c r="D43" s="176"/>
      <c r="E43" s="190"/>
      <c r="F43" s="260"/>
    </row>
    <row r="44" spans="1:6" ht="18">
      <c r="A44" s="85"/>
      <c r="B44" s="80" t="s">
        <v>145</v>
      </c>
      <c r="C44" s="91" t="s">
        <v>144</v>
      </c>
      <c r="D44" s="176">
        <f>D33+D26+D20+D12</f>
        <v>0</v>
      </c>
      <c r="E44" s="91" t="s">
        <v>144</v>
      </c>
      <c r="F44" s="260">
        <f>F33+F26+F20+F12+F37</f>
        <v>4254.87</v>
      </c>
    </row>
    <row r="45" spans="1:6" ht="14.25">
      <c r="A45" s="6"/>
      <c r="B45" s="6"/>
      <c r="C45" s="6"/>
      <c r="D45" s="6"/>
      <c r="E45" s="6"/>
      <c r="F45" s="6"/>
    </row>
    <row r="46" spans="1:6" ht="14.25">
      <c r="A46" s="6"/>
      <c r="B46" s="6"/>
      <c r="C46" s="6"/>
      <c r="D46" s="6"/>
      <c r="E46" s="6"/>
      <c r="F46" s="6"/>
    </row>
    <row r="47" spans="1:4" s="140" customFormat="1" ht="18.75" customHeight="1">
      <c r="A47" s="188" t="s">
        <v>589</v>
      </c>
      <c r="B47" s="187"/>
      <c r="C47" s="199"/>
      <c r="D47" s="3" t="s">
        <v>753</v>
      </c>
    </row>
    <row r="48" spans="1:4" s="140" customFormat="1" ht="18.75" customHeight="1">
      <c r="A48" s="45" t="s">
        <v>606</v>
      </c>
      <c r="B48" s="183"/>
      <c r="C48" s="185"/>
      <c r="D48" s="3" t="s">
        <v>402</v>
      </c>
    </row>
    <row r="49" spans="1:4" s="140" customFormat="1" ht="18">
      <c r="A49" s="183"/>
      <c r="B49" s="183"/>
      <c r="C49" s="183"/>
      <c r="D49" s="3"/>
    </row>
    <row r="50" spans="1:4" s="140" customFormat="1" ht="18">
      <c r="A50" s="183" t="s">
        <v>408</v>
      </c>
      <c r="B50" s="183"/>
      <c r="C50" s="199"/>
      <c r="D50" s="3" t="s">
        <v>591</v>
      </c>
    </row>
    <row r="51" spans="1:4" s="1" customFormat="1" ht="18.75" customHeight="1">
      <c r="A51" s="45" t="s">
        <v>606</v>
      </c>
      <c r="B51" s="183"/>
      <c r="C51" s="185"/>
      <c r="D51" s="3" t="s">
        <v>402</v>
      </c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5"/>
  <sheetViews>
    <sheetView view="pageBreakPreview" zoomScale="60" zoomScalePageLayoutView="0" workbookViewId="0" topLeftCell="A7">
      <selection activeCell="D42" sqref="D42"/>
    </sheetView>
  </sheetViews>
  <sheetFormatPr defaultColWidth="9.140625" defaultRowHeight="15"/>
  <cols>
    <col min="1" max="1" width="8.140625" style="6" customWidth="1"/>
    <col min="2" max="2" width="66.140625" style="6" customWidth="1"/>
    <col min="3" max="3" width="25.8515625" style="6" customWidth="1"/>
    <col min="4" max="4" width="25.421875" style="6" customWidth="1"/>
    <col min="5" max="5" width="2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731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337" t="s">
        <v>216</v>
      </c>
      <c r="E10" s="337" t="s">
        <v>217</v>
      </c>
      <c r="F10" s="337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710</v>
      </c>
      <c r="C12" s="337" t="s">
        <v>144</v>
      </c>
      <c r="D12" s="177">
        <f>SUM(D13:D15)</f>
        <v>0</v>
      </c>
      <c r="E12" s="337" t="s">
        <v>144</v>
      </c>
      <c r="F12" s="257">
        <v>260800</v>
      </c>
    </row>
    <row r="13" spans="1:6" ht="18">
      <c r="A13" s="298"/>
      <c r="B13" s="80" t="s">
        <v>360</v>
      </c>
      <c r="C13" s="91"/>
      <c r="D13" s="178"/>
      <c r="E13" s="91"/>
      <c r="F13" s="258"/>
    </row>
    <row r="14" spans="1:6" ht="18" hidden="1">
      <c r="A14" s="298"/>
      <c r="B14" s="80"/>
      <c r="C14" s="91"/>
      <c r="D14" s="178"/>
      <c r="E14" s="91"/>
      <c r="F14" s="258"/>
    </row>
    <row r="15" spans="1:6" ht="18" hidden="1">
      <c r="A15" s="298"/>
      <c r="B15" s="88"/>
      <c r="C15" s="91"/>
      <c r="D15" s="178"/>
      <c r="E15" s="91"/>
      <c r="F15" s="258"/>
    </row>
    <row r="16" spans="1:6" ht="21" customHeight="1">
      <c r="A16" s="298">
        <v>2</v>
      </c>
      <c r="B16" s="80" t="s">
        <v>214</v>
      </c>
      <c r="C16" s="337" t="s">
        <v>144</v>
      </c>
      <c r="D16" s="177">
        <f>SUM(D17:D19)</f>
        <v>0</v>
      </c>
      <c r="E16" s="337" t="s">
        <v>144</v>
      </c>
      <c r="F16" s="257">
        <f>F20+F21</f>
        <v>0</v>
      </c>
    </row>
    <row r="17" spans="1:6" ht="18">
      <c r="A17" s="298"/>
      <c r="B17" s="80" t="s">
        <v>360</v>
      </c>
      <c r="C17" s="91"/>
      <c r="D17" s="178"/>
      <c r="E17" s="91"/>
      <c r="F17" s="258"/>
    </row>
    <row r="18" spans="1:6" ht="18" hidden="1">
      <c r="A18" s="298"/>
      <c r="B18" s="80"/>
      <c r="C18" s="91"/>
      <c r="D18" s="178"/>
      <c r="E18" s="91"/>
      <c r="F18" s="258"/>
    </row>
    <row r="19" spans="1:6" ht="18" hidden="1">
      <c r="A19" s="298"/>
      <c r="B19" s="88"/>
      <c r="C19" s="91"/>
      <c r="D19" s="178"/>
      <c r="E19" s="91"/>
      <c r="F19" s="258"/>
    </row>
    <row r="20" spans="1:6" ht="18">
      <c r="A20" s="298"/>
      <c r="B20" s="386" t="s">
        <v>523</v>
      </c>
      <c r="C20" s="91"/>
      <c r="D20" s="178"/>
      <c r="E20" s="91"/>
      <c r="F20" s="258"/>
    </row>
    <row r="21" spans="1:6" ht="18">
      <c r="A21" s="298"/>
      <c r="B21" s="386" t="s">
        <v>522</v>
      </c>
      <c r="C21" s="91"/>
      <c r="D21" s="178"/>
      <c r="E21" s="91"/>
      <c r="F21" s="258"/>
    </row>
    <row r="22" spans="1:6" ht="22.5" customHeight="1">
      <c r="A22" s="298">
        <v>3</v>
      </c>
      <c r="B22" s="80" t="s">
        <v>213</v>
      </c>
      <c r="C22" s="337" t="s">
        <v>144</v>
      </c>
      <c r="D22" s="177">
        <f>SUM(D25:D27)</f>
        <v>0</v>
      </c>
      <c r="E22" s="337" t="s">
        <v>144</v>
      </c>
      <c r="F22" s="384">
        <f>F23+F24</f>
        <v>0</v>
      </c>
    </row>
    <row r="23" spans="1:6" ht="22.5" customHeight="1">
      <c r="A23" s="298"/>
      <c r="B23" s="80" t="s">
        <v>525</v>
      </c>
      <c r="C23" s="337"/>
      <c r="D23" s="177"/>
      <c r="E23" s="337"/>
      <c r="F23" s="384"/>
    </row>
    <row r="24" spans="1:6" ht="22.5" customHeight="1">
      <c r="A24" s="298"/>
      <c r="B24" s="80" t="s">
        <v>526</v>
      </c>
      <c r="C24" s="337"/>
      <c r="D24" s="177"/>
      <c r="E24" s="337"/>
      <c r="F24" s="384"/>
    </row>
    <row r="25" spans="1:6" ht="18">
      <c r="A25" s="298"/>
      <c r="B25" s="80" t="s">
        <v>40</v>
      </c>
      <c r="C25" s="91"/>
      <c r="D25" s="178"/>
      <c r="E25" s="91"/>
      <c r="F25" s="385"/>
    </row>
    <row r="26" spans="1:6" ht="18" hidden="1">
      <c r="A26" s="298"/>
      <c r="B26" s="80"/>
      <c r="C26" s="91"/>
      <c r="D26" s="178"/>
      <c r="E26" s="91"/>
      <c r="F26" s="385"/>
    </row>
    <row r="27" spans="1:6" ht="18" hidden="1">
      <c r="A27" s="298"/>
      <c r="B27" s="80"/>
      <c r="C27" s="91"/>
      <c r="D27" s="178"/>
      <c r="E27" s="91"/>
      <c r="F27" s="385"/>
    </row>
    <row r="28" spans="1:6" ht="18" customHeight="1">
      <c r="A28" s="298">
        <v>4</v>
      </c>
      <c r="B28" s="80" t="s">
        <v>212</v>
      </c>
      <c r="C28" s="337" t="s">
        <v>144</v>
      </c>
      <c r="D28" s="177">
        <f>SUM(D29:D31)</f>
        <v>0</v>
      </c>
      <c r="E28" s="337" t="s">
        <v>144</v>
      </c>
      <c r="F28" s="384">
        <f>F33</f>
        <v>0</v>
      </c>
    </row>
    <row r="29" spans="1:6" ht="18">
      <c r="A29" s="298"/>
      <c r="B29" s="80" t="s">
        <v>40</v>
      </c>
      <c r="C29" s="91"/>
      <c r="D29" s="178"/>
      <c r="E29" s="91"/>
      <c r="F29" s="383"/>
    </row>
    <row r="30" spans="1:6" ht="18" hidden="1">
      <c r="A30" s="298"/>
      <c r="B30" s="80"/>
      <c r="C30" s="91"/>
      <c r="D30" s="178"/>
      <c r="E30" s="91"/>
      <c r="F30" s="383"/>
    </row>
    <row r="31" spans="1:6" ht="18" hidden="1">
      <c r="A31" s="298"/>
      <c r="B31" s="80"/>
      <c r="C31" s="91"/>
      <c r="D31" s="178"/>
      <c r="E31" s="91"/>
      <c r="F31" s="383"/>
    </row>
    <row r="32" spans="1:6" ht="18" hidden="1">
      <c r="A32" s="298"/>
      <c r="B32" s="80"/>
      <c r="C32" s="91"/>
      <c r="D32" s="178"/>
      <c r="E32" s="91"/>
      <c r="F32" s="383"/>
    </row>
    <row r="33" spans="1:6" ht="18">
      <c r="A33" s="298"/>
      <c r="B33" s="80" t="s">
        <v>524</v>
      </c>
      <c r="C33" s="91"/>
      <c r="D33" s="178"/>
      <c r="E33" s="91"/>
      <c r="F33" s="385"/>
    </row>
    <row r="34" spans="1:6" ht="18">
      <c r="A34" s="298">
        <v>5</v>
      </c>
      <c r="B34" s="80" t="s">
        <v>361</v>
      </c>
      <c r="C34" s="337" t="s">
        <v>144</v>
      </c>
      <c r="D34" s="177">
        <f>SUM(D35:D38)</f>
        <v>0</v>
      </c>
      <c r="E34" s="337" t="s">
        <v>144</v>
      </c>
      <c r="F34" s="384">
        <v>0</v>
      </c>
    </row>
    <row r="35" spans="1:6" ht="18">
      <c r="A35" s="298"/>
      <c r="B35" s="80" t="s">
        <v>40</v>
      </c>
      <c r="C35" s="91"/>
      <c r="D35" s="178"/>
      <c r="E35" s="91"/>
      <c r="F35" s="385"/>
    </row>
    <row r="36" spans="1:6" ht="18">
      <c r="A36" s="298"/>
      <c r="B36" s="80"/>
      <c r="C36" s="91"/>
      <c r="D36" s="178"/>
      <c r="E36" s="91"/>
      <c r="F36" s="385"/>
    </row>
    <row r="37" spans="1:6" ht="18">
      <c r="A37" s="298"/>
      <c r="B37" s="80"/>
      <c r="C37" s="91"/>
      <c r="D37" s="178"/>
      <c r="E37" s="91"/>
      <c r="F37" s="258"/>
    </row>
    <row r="38" spans="1:6" ht="21" customHeight="1">
      <c r="A38" s="298"/>
      <c r="B38" s="77" t="s">
        <v>145</v>
      </c>
      <c r="C38" s="100" t="s">
        <v>144</v>
      </c>
      <c r="D38" s="179">
        <f>SUM(D39:D40)</f>
        <v>0</v>
      </c>
      <c r="E38" s="100" t="s">
        <v>144</v>
      </c>
      <c r="F38" s="259">
        <f>F16+F22+F28+F34+F12</f>
        <v>260800</v>
      </c>
    </row>
    <row r="41" spans="1:4" s="140" customFormat="1" ht="18.75" customHeight="1">
      <c r="A41" s="188" t="s">
        <v>589</v>
      </c>
      <c r="B41" s="187"/>
      <c r="C41" s="199"/>
      <c r="D41" s="3" t="s">
        <v>753</v>
      </c>
    </row>
    <row r="42" spans="1:4" s="140" customFormat="1" ht="18.75" customHeight="1">
      <c r="A42" s="45" t="s">
        <v>606</v>
      </c>
      <c r="B42" s="183"/>
      <c r="C42" s="185"/>
      <c r="D42" s="3" t="s">
        <v>402</v>
      </c>
    </row>
    <row r="43" spans="1:4" s="140" customFormat="1" ht="18">
      <c r="A43" s="183"/>
      <c r="B43" s="183"/>
      <c r="C43" s="183"/>
      <c r="D43" s="3"/>
    </row>
    <row r="44" spans="1:4" s="140" customFormat="1" ht="18">
      <c r="A44" s="183" t="s">
        <v>408</v>
      </c>
      <c r="B44" s="183"/>
      <c r="C44" s="199"/>
      <c r="D44" s="3" t="s">
        <v>591</v>
      </c>
    </row>
    <row r="45" spans="1:4" s="1" customFormat="1" ht="18.75" customHeight="1">
      <c r="A45" s="45" t="s">
        <v>606</v>
      </c>
      <c r="B45" s="183"/>
      <c r="C45" s="185"/>
      <c r="D45" s="3" t="s">
        <v>402</v>
      </c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6"/>
  <sheetViews>
    <sheetView view="pageBreakPreview" zoomScale="60" zoomScaleNormal="80" zoomScalePageLayoutView="0" workbookViewId="0" topLeftCell="A7">
      <selection activeCell="D43" sqref="D43"/>
    </sheetView>
  </sheetViews>
  <sheetFormatPr defaultColWidth="9.140625" defaultRowHeight="15"/>
  <cols>
    <col min="1" max="1" width="8.140625" style="6" customWidth="1"/>
    <col min="2" max="2" width="66.140625" style="6" customWidth="1"/>
    <col min="3" max="3" width="25.8515625" style="6" customWidth="1"/>
    <col min="4" max="4" width="25.421875" style="6" customWidth="1"/>
    <col min="5" max="5" width="2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730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337" t="s">
        <v>216</v>
      </c>
      <c r="E10" s="337" t="s">
        <v>217</v>
      </c>
      <c r="F10" s="337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710</v>
      </c>
      <c r="C12" s="337" t="s">
        <v>144</v>
      </c>
      <c r="D12" s="177">
        <f>SUM(D13:D15)</f>
        <v>0</v>
      </c>
      <c r="E12" s="337" t="s">
        <v>144</v>
      </c>
      <c r="F12" s="257">
        <v>36600</v>
      </c>
    </row>
    <row r="13" spans="1:6" ht="18">
      <c r="A13" s="298"/>
      <c r="B13" s="80" t="s">
        <v>360</v>
      </c>
      <c r="C13" s="91"/>
      <c r="D13" s="178"/>
      <c r="E13" s="91"/>
      <c r="F13" s="258"/>
    </row>
    <row r="14" spans="1:6" ht="18" hidden="1">
      <c r="A14" s="298"/>
      <c r="B14" s="80"/>
      <c r="C14" s="91"/>
      <c r="D14" s="178"/>
      <c r="E14" s="91"/>
      <c r="F14" s="258"/>
    </row>
    <row r="15" spans="1:6" ht="18" hidden="1">
      <c r="A15" s="298"/>
      <c r="B15" s="88"/>
      <c r="C15" s="91"/>
      <c r="D15" s="178"/>
      <c r="E15" s="91"/>
      <c r="F15" s="258"/>
    </row>
    <row r="16" spans="1:6" ht="21" customHeight="1">
      <c r="A16" s="298">
        <v>2</v>
      </c>
      <c r="B16" s="80" t="s">
        <v>214</v>
      </c>
      <c r="C16" s="337" t="s">
        <v>144</v>
      </c>
      <c r="D16" s="177">
        <f>SUM(D17:D19)</f>
        <v>0</v>
      </c>
      <c r="E16" s="337" t="s">
        <v>144</v>
      </c>
      <c r="F16" s="257">
        <f>F20+F21</f>
        <v>0</v>
      </c>
    </row>
    <row r="17" spans="1:6" ht="18">
      <c r="A17" s="298"/>
      <c r="B17" s="80" t="s">
        <v>360</v>
      </c>
      <c r="C17" s="91"/>
      <c r="D17" s="178"/>
      <c r="E17" s="91"/>
      <c r="F17" s="258"/>
    </row>
    <row r="18" spans="1:6" ht="18" hidden="1">
      <c r="A18" s="298"/>
      <c r="B18" s="80"/>
      <c r="C18" s="91"/>
      <c r="D18" s="178"/>
      <c r="E18" s="91"/>
      <c r="F18" s="258"/>
    </row>
    <row r="19" spans="1:6" ht="18" hidden="1">
      <c r="A19" s="298"/>
      <c r="B19" s="88"/>
      <c r="C19" s="91"/>
      <c r="D19" s="178"/>
      <c r="E19" s="91"/>
      <c r="F19" s="258"/>
    </row>
    <row r="20" spans="1:6" ht="18">
      <c r="A20" s="298"/>
      <c r="B20" s="386" t="s">
        <v>523</v>
      </c>
      <c r="C20" s="91"/>
      <c r="D20" s="178"/>
      <c r="E20" s="91"/>
      <c r="F20" s="258"/>
    </row>
    <row r="21" spans="1:6" ht="18">
      <c r="A21" s="298"/>
      <c r="B21" s="386" t="s">
        <v>522</v>
      </c>
      <c r="C21" s="91"/>
      <c r="D21" s="178"/>
      <c r="E21" s="91"/>
      <c r="F21" s="258"/>
    </row>
    <row r="22" spans="1:6" ht="22.5" customHeight="1">
      <c r="A22" s="298">
        <v>3</v>
      </c>
      <c r="B22" s="80" t="s">
        <v>213</v>
      </c>
      <c r="C22" s="337" t="s">
        <v>144</v>
      </c>
      <c r="D22" s="177">
        <f>SUM(D25:D27)</f>
        <v>0</v>
      </c>
      <c r="E22" s="337" t="s">
        <v>144</v>
      </c>
      <c r="F22" s="384">
        <f>F23+F24</f>
        <v>0</v>
      </c>
    </row>
    <row r="23" spans="1:6" ht="22.5" customHeight="1">
      <c r="A23" s="298"/>
      <c r="B23" s="80" t="s">
        <v>525</v>
      </c>
      <c r="C23" s="337"/>
      <c r="D23" s="177"/>
      <c r="E23" s="337"/>
      <c r="F23" s="384"/>
    </row>
    <row r="24" spans="1:6" ht="22.5" customHeight="1">
      <c r="A24" s="298"/>
      <c r="B24" s="80" t="s">
        <v>526</v>
      </c>
      <c r="C24" s="337"/>
      <c r="D24" s="177"/>
      <c r="E24" s="337"/>
      <c r="F24" s="384"/>
    </row>
    <row r="25" spans="1:6" ht="18">
      <c r="A25" s="298"/>
      <c r="B25" s="80" t="s">
        <v>40</v>
      </c>
      <c r="C25" s="91"/>
      <c r="D25" s="178"/>
      <c r="E25" s="91"/>
      <c r="F25" s="385"/>
    </row>
    <row r="26" spans="1:6" ht="18" hidden="1">
      <c r="A26" s="298"/>
      <c r="B26" s="80"/>
      <c r="C26" s="91"/>
      <c r="D26" s="178"/>
      <c r="E26" s="91"/>
      <c r="F26" s="385"/>
    </row>
    <row r="27" spans="1:6" ht="18" hidden="1">
      <c r="A27" s="298"/>
      <c r="B27" s="80"/>
      <c r="C27" s="91"/>
      <c r="D27" s="178"/>
      <c r="E27" s="91"/>
      <c r="F27" s="385"/>
    </row>
    <row r="28" spans="1:6" ht="18" customHeight="1">
      <c r="A28" s="298">
        <v>4</v>
      </c>
      <c r="B28" s="80" t="s">
        <v>212</v>
      </c>
      <c r="C28" s="337" t="s">
        <v>144</v>
      </c>
      <c r="D28" s="177">
        <f>SUM(D29:D31)</f>
        <v>0</v>
      </c>
      <c r="E28" s="337" t="s">
        <v>144</v>
      </c>
      <c r="F28" s="384">
        <f>F33</f>
        <v>0</v>
      </c>
    </row>
    <row r="29" spans="1:6" ht="18">
      <c r="A29" s="298"/>
      <c r="B29" s="80" t="s">
        <v>40</v>
      </c>
      <c r="C29" s="91"/>
      <c r="D29" s="178"/>
      <c r="E29" s="91"/>
      <c r="F29" s="383"/>
    </row>
    <row r="30" spans="1:6" ht="18" hidden="1">
      <c r="A30" s="298"/>
      <c r="B30" s="80"/>
      <c r="C30" s="91"/>
      <c r="D30" s="178"/>
      <c r="E30" s="91"/>
      <c r="F30" s="383"/>
    </row>
    <row r="31" spans="1:6" ht="18" hidden="1">
      <c r="A31" s="298"/>
      <c r="B31" s="80"/>
      <c r="C31" s="91"/>
      <c r="D31" s="178"/>
      <c r="E31" s="91"/>
      <c r="F31" s="383"/>
    </row>
    <row r="32" spans="1:6" ht="18" hidden="1">
      <c r="A32" s="298"/>
      <c r="B32" s="80"/>
      <c r="C32" s="91"/>
      <c r="D32" s="178"/>
      <c r="E32" s="91"/>
      <c r="F32" s="383"/>
    </row>
    <row r="33" spans="1:6" ht="18">
      <c r="A33" s="298"/>
      <c r="B33" s="80" t="s">
        <v>524</v>
      </c>
      <c r="C33" s="91"/>
      <c r="D33" s="178"/>
      <c r="E33" s="91"/>
      <c r="F33" s="385"/>
    </row>
    <row r="34" spans="1:6" ht="18">
      <c r="A34" s="298">
        <v>5</v>
      </c>
      <c r="B34" s="80" t="s">
        <v>361</v>
      </c>
      <c r="C34" s="337" t="s">
        <v>144</v>
      </c>
      <c r="D34" s="177">
        <f>SUM(D35:D39)</f>
        <v>0</v>
      </c>
      <c r="E34" s="337" t="s">
        <v>144</v>
      </c>
      <c r="F34" s="384">
        <v>0</v>
      </c>
    </row>
    <row r="35" spans="1:6" ht="18">
      <c r="A35" s="298"/>
      <c r="B35" s="80" t="s">
        <v>40</v>
      </c>
      <c r="C35" s="91"/>
      <c r="D35" s="178"/>
      <c r="E35" s="91"/>
      <c r="F35" s="385"/>
    </row>
    <row r="36" spans="1:6" ht="18">
      <c r="A36" s="298"/>
      <c r="B36" s="80"/>
      <c r="C36" s="91"/>
      <c r="D36" s="178"/>
      <c r="E36" s="91"/>
      <c r="F36" s="385"/>
    </row>
    <row r="37" spans="1:6" ht="18">
      <c r="A37" s="298"/>
      <c r="B37" s="80"/>
      <c r="C37" s="91"/>
      <c r="D37" s="178"/>
      <c r="E37" s="91"/>
      <c r="F37" s="385"/>
    </row>
    <row r="38" spans="1:6" ht="18">
      <c r="A38" s="298"/>
      <c r="B38" s="80"/>
      <c r="C38" s="91"/>
      <c r="D38" s="178"/>
      <c r="E38" s="91"/>
      <c r="F38" s="258"/>
    </row>
    <row r="39" spans="1:6" ht="21" customHeight="1">
      <c r="A39" s="298"/>
      <c r="B39" s="77" t="s">
        <v>145</v>
      </c>
      <c r="C39" s="100" t="s">
        <v>144</v>
      </c>
      <c r="D39" s="179">
        <f>SUM(D40:D41)</f>
        <v>0</v>
      </c>
      <c r="E39" s="100" t="s">
        <v>144</v>
      </c>
      <c r="F39" s="259">
        <f>F16+F22+F28+F34+F12</f>
        <v>36600</v>
      </c>
    </row>
    <row r="42" spans="1:4" s="140" customFormat="1" ht="18.75" customHeight="1">
      <c r="A42" s="188" t="s">
        <v>589</v>
      </c>
      <c r="B42" s="187"/>
      <c r="C42" s="199"/>
      <c r="D42" s="3" t="s">
        <v>753</v>
      </c>
    </row>
    <row r="43" spans="1:4" s="140" customFormat="1" ht="18.75" customHeight="1">
      <c r="A43" s="45" t="s">
        <v>606</v>
      </c>
      <c r="B43" s="183"/>
      <c r="C43" s="185"/>
      <c r="D43" s="3" t="s">
        <v>402</v>
      </c>
    </row>
    <row r="44" spans="1:4" s="140" customFormat="1" ht="18">
      <c r="A44" s="183"/>
      <c r="B44" s="183"/>
      <c r="C44" s="183"/>
      <c r="D44" s="3"/>
    </row>
    <row r="45" spans="1:4" s="140" customFormat="1" ht="18">
      <c r="A45" s="183" t="s">
        <v>408</v>
      </c>
      <c r="B45" s="183"/>
      <c r="C45" s="199"/>
      <c r="D45" s="3" t="s">
        <v>591</v>
      </c>
    </row>
    <row r="46" spans="1:4" s="1" customFormat="1" ht="18.75" customHeight="1">
      <c r="A46" s="45" t="s">
        <v>606</v>
      </c>
      <c r="B46" s="183"/>
      <c r="C46" s="185"/>
      <c r="D46" s="3" t="s">
        <v>402</v>
      </c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4"/>
  <sheetViews>
    <sheetView view="pageBreakPreview" zoomScale="60" zoomScaleNormal="90" zoomScalePageLayoutView="0" workbookViewId="0" topLeftCell="A7">
      <selection activeCell="D41" sqref="D41"/>
    </sheetView>
  </sheetViews>
  <sheetFormatPr defaultColWidth="9.140625" defaultRowHeight="15"/>
  <cols>
    <col min="1" max="1" width="8.140625" style="6" customWidth="1"/>
    <col min="2" max="2" width="66.140625" style="6" customWidth="1"/>
    <col min="3" max="3" width="25.8515625" style="6" customWidth="1"/>
    <col min="4" max="4" width="25.421875" style="6" customWidth="1"/>
    <col min="5" max="5" width="2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729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337" t="s">
        <v>216</v>
      </c>
      <c r="E10" s="337" t="s">
        <v>217</v>
      </c>
      <c r="F10" s="337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710</v>
      </c>
      <c r="C12" s="337" t="s">
        <v>144</v>
      </c>
      <c r="D12" s="177">
        <f>SUM(D13:D14)</f>
        <v>0</v>
      </c>
      <c r="E12" s="337" t="s">
        <v>144</v>
      </c>
      <c r="F12" s="257">
        <v>52400</v>
      </c>
    </row>
    <row r="13" spans="1:6" ht="18" hidden="1">
      <c r="A13" s="298"/>
      <c r="B13" s="80"/>
      <c r="C13" s="91"/>
      <c r="D13" s="178"/>
      <c r="E13" s="91"/>
      <c r="F13" s="258"/>
    </row>
    <row r="14" spans="1:6" ht="18" hidden="1">
      <c r="A14" s="298"/>
      <c r="B14" s="88"/>
      <c r="C14" s="91"/>
      <c r="D14" s="178"/>
      <c r="E14" s="91"/>
      <c r="F14" s="258"/>
    </row>
    <row r="15" spans="1:6" ht="21" customHeight="1">
      <c r="A15" s="298">
        <v>2</v>
      </c>
      <c r="B15" s="80" t="s">
        <v>214</v>
      </c>
      <c r="C15" s="337" t="s">
        <v>144</v>
      </c>
      <c r="D15" s="177">
        <f>SUM(D16:D18)</f>
        <v>0</v>
      </c>
      <c r="E15" s="337" t="s">
        <v>144</v>
      </c>
      <c r="F15" s="257">
        <f>F19+F20</f>
        <v>0</v>
      </c>
    </row>
    <row r="16" spans="1:6" ht="18">
      <c r="A16" s="298"/>
      <c r="B16" s="80" t="s">
        <v>360</v>
      </c>
      <c r="C16" s="91"/>
      <c r="D16" s="178"/>
      <c r="E16" s="91"/>
      <c r="F16" s="258"/>
    </row>
    <row r="17" spans="1:6" ht="18" hidden="1">
      <c r="A17" s="298"/>
      <c r="B17" s="80"/>
      <c r="C17" s="91"/>
      <c r="D17" s="178"/>
      <c r="E17" s="91"/>
      <c r="F17" s="258"/>
    </row>
    <row r="18" spans="1:6" ht="18" hidden="1">
      <c r="A18" s="298"/>
      <c r="B18" s="88"/>
      <c r="C18" s="91"/>
      <c r="D18" s="178"/>
      <c r="E18" s="91"/>
      <c r="F18" s="258"/>
    </row>
    <row r="19" spans="1:6" ht="18">
      <c r="A19" s="298"/>
      <c r="B19" s="386" t="s">
        <v>523</v>
      </c>
      <c r="C19" s="91"/>
      <c r="D19" s="178"/>
      <c r="E19" s="91"/>
      <c r="F19" s="258"/>
    </row>
    <row r="20" spans="1:6" ht="18">
      <c r="A20" s="298"/>
      <c r="B20" s="386" t="s">
        <v>522</v>
      </c>
      <c r="C20" s="91"/>
      <c r="D20" s="178"/>
      <c r="E20" s="91"/>
      <c r="F20" s="258"/>
    </row>
    <row r="21" spans="1:6" ht="22.5" customHeight="1">
      <c r="A21" s="298">
        <v>3</v>
      </c>
      <c r="B21" s="80" t="s">
        <v>213</v>
      </c>
      <c r="C21" s="337" t="s">
        <v>144</v>
      </c>
      <c r="D21" s="177">
        <f>SUM(D24:D26)</f>
        <v>0</v>
      </c>
      <c r="E21" s="337" t="s">
        <v>144</v>
      </c>
      <c r="F21" s="384">
        <f>F22+F23</f>
        <v>0</v>
      </c>
    </row>
    <row r="22" spans="1:6" ht="22.5" customHeight="1">
      <c r="A22" s="298"/>
      <c r="B22" s="80" t="s">
        <v>525</v>
      </c>
      <c r="C22" s="337"/>
      <c r="D22" s="177"/>
      <c r="E22" s="337"/>
      <c r="F22" s="384"/>
    </row>
    <row r="23" spans="1:6" ht="22.5" customHeight="1">
      <c r="A23" s="298"/>
      <c r="B23" s="80" t="s">
        <v>526</v>
      </c>
      <c r="C23" s="337"/>
      <c r="D23" s="177"/>
      <c r="E23" s="337"/>
      <c r="F23" s="384"/>
    </row>
    <row r="24" spans="1:6" ht="18">
      <c r="A24" s="298"/>
      <c r="B24" s="80" t="s">
        <v>40</v>
      </c>
      <c r="C24" s="91"/>
      <c r="D24" s="178"/>
      <c r="E24" s="91"/>
      <c r="F24" s="385"/>
    </row>
    <row r="25" spans="1:6" ht="18" hidden="1">
      <c r="A25" s="298"/>
      <c r="B25" s="80"/>
      <c r="C25" s="91"/>
      <c r="D25" s="178"/>
      <c r="E25" s="91"/>
      <c r="F25" s="385"/>
    </row>
    <row r="26" spans="1:6" ht="18" hidden="1">
      <c r="A26" s="298"/>
      <c r="B26" s="80"/>
      <c r="C26" s="91"/>
      <c r="D26" s="178"/>
      <c r="E26" s="91"/>
      <c r="F26" s="385"/>
    </row>
    <row r="27" spans="1:6" ht="18" customHeight="1">
      <c r="A27" s="298">
        <v>4</v>
      </c>
      <c r="B27" s="80" t="s">
        <v>212</v>
      </c>
      <c r="C27" s="337" t="s">
        <v>144</v>
      </c>
      <c r="D27" s="177">
        <f>SUM(D28:D30)</f>
        <v>0</v>
      </c>
      <c r="E27" s="337" t="s">
        <v>144</v>
      </c>
      <c r="F27" s="384">
        <f>F32</f>
        <v>0</v>
      </c>
    </row>
    <row r="28" spans="1:6" ht="18">
      <c r="A28" s="298"/>
      <c r="B28" s="80" t="s">
        <v>40</v>
      </c>
      <c r="C28" s="91"/>
      <c r="D28" s="178"/>
      <c r="E28" s="91"/>
      <c r="F28" s="383"/>
    </row>
    <row r="29" spans="1:6" ht="18" hidden="1">
      <c r="A29" s="298"/>
      <c r="B29" s="80"/>
      <c r="C29" s="91"/>
      <c r="D29" s="178"/>
      <c r="E29" s="91"/>
      <c r="F29" s="383"/>
    </row>
    <row r="30" spans="1:6" ht="18" hidden="1">
      <c r="A30" s="298"/>
      <c r="B30" s="80"/>
      <c r="C30" s="91"/>
      <c r="D30" s="178"/>
      <c r="E30" s="91"/>
      <c r="F30" s="383"/>
    </row>
    <row r="31" spans="1:6" ht="18" hidden="1">
      <c r="A31" s="298"/>
      <c r="B31" s="80"/>
      <c r="C31" s="91"/>
      <c r="D31" s="178"/>
      <c r="E31" s="91"/>
      <c r="F31" s="383"/>
    </row>
    <row r="32" spans="1:6" ht="18">
      <c r="A32" s="298"/>
      <c r="B32" s="80" t="s">
        <v>524</v>
      </c>
      <c r="C32" s="91"/>
      <c r="D32" s="178"/>
      <c r="E32" s="91"/>
      <c r="F32" s="385"/>
    </row>
    <row r="33" spans="1:6" ht="18">
      <c r="A33" s="298">
        <v>5</v>
      </c>
      <c r="B33" s="80" t="s">
        <v>361</v>
      </c>
      <c r="C33" s="337" t="s">
        <v>144</v>
      </c>
      <c r="D33" s="177">
        <f>SUM(D34:D37)</f>
        <v>0</v>
      </c>
      <c r="E33" s="337" t="s">
        <v>144</v>
      </c>
      <c r="F33" s="384">
        <v>0</v>
      </c>
    </row>
    <row r="34" spans="1:6" ht="18">
      <c r="A34" s="298"/>
      <c r="B34" s="80" t="s">
        <v>40</v>
      </c>
      <c r="C34" s="91"/>
      <c r="D34" s="178"/>
      <c r="E34" s="91"/>
      <c r="F34" s="385"/>
    </row>
    <row r="35" spans="1:6" ht="18">
      <c r="A35" s="298"/>
      <c r="B35" s="80"/>
      <c r="C35" s="91"/>
      <c r="D35" s="178"/>
      <c r="E35" s="91"/>
      <c r="F35" s="385"/>
    </row>
    <row r="36" spans="1:6" ht="18">
      <c r="A36" s="298"/>
      <c r="B36" s="80"/>
      <c r="C36" s="91"/>
      <c r="D36" s="178"/>
      <c r="E36" s="91"/>
      <c r="F36" s="258"/>
    </row>
    <row r="37" spans="1:6" ht="21" customHeight="1">
      <c r="A37" s="298"/>
      <c r="B37" s="77" t="s">
        <v>145</v>
      </c>
      <c r="C37" s="100" t="s">
        <v>144</v>
      </c>
      <c r="D37" s="179">
        <f>SUM(D38:D39)</f>
        <v>0</v>
      </c>
      <c r="E37" s="100" t="s">
        <v>144</v>
      </c>
      <c r="F37" s="259">
        <f>F15+F21+F27+F33+F12</f>
        <v>52400</v>
      </c>
    </row>
    <row r="40" spans="1:4" s="140" customFormat="1" ht="18.75" customHeight="1">
      <c r="A40" s="188" t="s">
        <v>589</v>
      </c>
      <c r="B40" s="187"/>
      <c r="C40" s="199"/>
      <c r="D40" s="3" t="s">
        <v>753</v>
      </c>
    </row>
    <row r="41" spans="1:4" s="140" customFormat="1" ht="18.75" customHeight="1">
      <c r="A41" s="45" t="s">
        <v>606</v>
      </c>
      <c r="B41" s="183"/>
      <c r="C41" s="185"/>
      <c r="D41" s="3" t="s">
        <v>402</v>
      </c>
    </row>
    <row r="42" spans="1:4" s="140" customFormat="1" ht="18">
      <c r="A42" s="183"/>
      <c r="B42" s="183"/>
      <c r="C42" s="183"/>
      <c r="D42" s="3"/>
    </row>
    <row r="43" spans="1:4" s="140" customFormat="1" ht="18">
      <c r="A43" s="183" t="s">
        <v>408</v>
      </c>
      <c r="B43" s="183"/>
      <c r="C43" s="199"/>
      <c r="D43" s="3" t="s">
        <v>591</v>
      </c>
    </row>
    <row r="44" spans="1:4" s="1" customFormat="1" ht="18.75" customHeight="1">
      <c r="A44" s="45" t="s">
        <v>606</v>
      </c>
      <c r="B44" s="183"/>
      <c r="C44" s="185"/>
      <c r="D44" s="3" t="s">
        <v>402</v>
      </c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2"/>
  <sheetViews>
    <sheetView view="pageBreakPreview" zoomScale="60" zoomScalePageLayoutView="0" workbookViewId="0" topLeftCell="A16">
      <selection activeCell="D49" sqref="D49"/>
    </sheetView>
  </sheetViews>
  <sheetFormatPr defaultColWidth="9.140625" defaultRowHeight="15"/>
  <cols>
    <col min="1" max="1" width="8.140625" style="6" customWidth="1"/>
    <col min="2" max="2" width="66.140625" style="6" customWidth="1"/>
    <col min="3" max="3" width="25.8515625" style="6" customWidth="1"/>
    <col min="4" max="4" width="25.421875" style="6" customWidth="1"/>
    <col min="5" max="5" width="2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728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42" t="s">
        <v>216</v>
      </c>
      <c r="E10" s="42" t="s">
        <v>217</v>
      </c>
      <c r="F10" s="42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710</v>
      </c>
      <c r="C12" s="42" t="s">
        <v>144</v>
      </c>
      <c r="D12" s="177">
        <f>SUM(D13:D15)</f>
        <v>0</v>
      </c>
      <c r="E12" s="42" t="s">
        <v>144</v>
      </c>
      <c r="F12" s="257">
        <v>0</v>
      </c>
    </row>
    <row r="13" spans="1:6" ht="18">
      <c r="A13" s="298"/>
      <c r="B13" s="80" t="s">
        <v>360</v>
      </c>
      <c r="C13" s="91"/>
      <c r="D13" s="178"/>
      <c r="E13" s="91"/>
      <c r="F13" s="258"/>
    </row>
    <row r="14" spans="1:6" ht="18" hidden="1">
      <c r="A14" s="298"/>
      <c r="B14" s="80"/>
      <c r="C14" s="91"/>
      <c r="D14" s="178"/>
      <c r="E14" s="91"/>
      <c r="F14" s="258"/>
    </row>
    <row r="15" spans="1:6" ht="18" hidden="1">
      <c r="A15" s="298"/>
      <c r="B15" s="88"/>
      <c r="C15" s="91"/>
      <c r="D15" s="178"/>
      <c r="E15" s="91"/>
      <c r="F15" s="258"/>
    </row>
    <row r="16" spans="1:6" ht="21" customHeight="1">
      <c r="A16" s="298">
        <v>2</v>
      </c>
      <c r="B16" s="80" t="s">
        <v>214</v>
      </c>
      <c r="C16" s="42" t="s">
        <v>144</v>
      </c>
      <c r="D16" s="177">
        <f>SUM(D17:D19)</f>
        <v>0</v>
      </c>
      <c r="E16" s="42" t="s">
        <v>144</v>
      </c>
      <c r="F16" s="257">
        <f>F20+F21</f>
        <v>0</v>
      </c>
    </row>
    <row r="17" spans="1:6" ht="18">
      <c r="A17" s="298"/>
      <c r="B17" s="80" t="s">
        <v>360</v>
      </c>
      <c r="C17" s="91"/>
      <c r="D17" s="178"/>
      <c r="E17" s="91"/>
      <c r="F17" s="258"/>
    </row>
    <row r="18" spans="1:6" ht="18" hidden="1">
      <c r="A18" s="298"/>
      <c r="B18" s="80"/>
      <c r="C18" s="91"/>
      <c r="D18" s="178"/>
      <c r="E18" s="91"/>
      <c r="F18" s="258"/>
    </row>
    <row r="19" spans="1:6" ht="18" hidden="1">
      <c r="A19" s="298"/>
      <c r="B19" s="88"/>
      <c r="C19" s="91"/>
      <c r="D19" s="178"/>
      <c r="E19" s="91"/>
      <c r="F19" s="258"/>
    </row>
    <row r="20" spans="1:6" ht="18">
      <c r="A20" s="298"/>
      <c r="B20" s="386" t="s">
        <v>523</v>
      </c>
      <c r="C20" s="91"/>
      <c r="D20" s="178"/>
      <c r="E20" s="91"/>
      <c r="F20" s="258"/>
    </row>
    <row r="21" spans="1:6" ht="18">
      <c r="A21" s="298"/>
      <c r="B21" s="386" t="s">
        <v>522</v>
      </c>
      <c r="C21" s="91"/>
      <c r="D21" s="178"/>
      <c r="E21" s="91"/>
      <c r="F21" s="258"/>
    </row>
    <row r="22" spans="1:6" ht="22.5" customHeight="1">
      <c r="A22" s="298">
        <v>3</v>
      </c>
      <c r="B22" s="80" t="s">
        <v>213</v>
      </c>
      <c r="C22" s="42" t="s">
        <v>144</v>
      </c>
      <c r="D22" s="177">
        <f>SUM(D25:D27)</f>
        <v>0</v>
      </c>
      <c r="E22" s="42" t="s">
        <v>144</v>
      </c>
      <c r="F22" s="384">
        <f>F23+F24</f>
        <v>0</v>
      </c>
    </row>
    <row r="23" spans="1:6" ht="22.5" customHeight="1">
      <c r="A23" s="298"/>
      <c r="B23" s="80" t="s">
        <v>525</v>
      </c>
      <c r="C23" s="337"/>
      <c r="D23" s="177"/>
      <c r="E23" s="337"/>
      <c r="F23" s="384"/>
    </row>
    <row r="24" spans="1:6" ht="22.5" customHeight="1">
      <c r="A24" s="298"/>
      <c r="B24" s="80" t="s">
        <v>526</v>
      </c>
      <c r="C24" s="337"/>
      <c r="D24" s="177"/>
      <c r="E24" s="337"/>
      <c r="F24" s="384"/>
    </row>
    <row r="25" spans="1:6" ht="18">
      <c r="A25" s="298"/>
      <c r="B25" s="80" t="s">
        <v>40</v>
      </c>
      <c r="C25" s="91"/>
      <c r="D25" s="178"/>
      <c r="E25" s="91"/>
      <c r="F25" s="385"/>
    </row>
    <row r="26" spans="1:6" ht="18" hidden="1">
      <c r="A26" s="298"/>
      <c r="B26" s="80"/>
      <c r="C26" s="91"/>
      <c r="D26" s="178"/>
      <c r="E26" s="91"/>
      <c r="F26" s="385"/>
    </row>
    <row r="27" spans="1:6" ht="18" hidden="1">
      <c r="A27" s="298"/>
      <c r="B27" s="80"/>
      <c r="C27" s="91"/>
      <c r="D27" s="178"/>
      <c r="E27" s="91"/>
      <c r="F27" s="385"/>
    </row>
    <row r="28" spans="1:6" ht="18" customHeight="1">
      <c r="A28" s="298">
        <v>4</v>
      </c>
      <c r="B28" s="80" t="s">
        <v>212</v>
      </c>
      <c r="C28" s="42" t="s">
        <v>144</v>
      </c>
      <c r="D28" s="177">
        <f>SUM(D29:D31)</f>
        <v>0</v>
      </c>
      <c r="E28" s="42" t="s">
        <v>144</v>
      </c>
      <c r="F28" s="384">
        <f>F33</f>
        <v>0</v>
      </c>
    </row>
    <row r="29" spans="1:6" ht="18">
      <c r="A29" s="298"/>
      <c r="B29" s="80" t="s">
        <v>40</v>
      </c>
      <c r="C29" s="91"/>
      <c r="D29" s="178"/>
      <c r="E29" s="91"/>
      <c r="F29" s="383"/>
    </row>
    <row r="30" spans="1:6" ht="18" hidden="1">
      <c r="A30" s="298"/>
      <c r="B30" s="80"/>
      <c r="C30" s="91"/>
      <c r="D30" s="178"/>
      <c r="E30" s="91"/>
      <c r="F30" s="383"/>
    </row>
    <row r="31" spans="1:6" ht="18" hidden="1">
      <c r="A31" s="298"/>
      <c r="B31" s="80"/>
      <c r="C31" s="91"/>
      <c r="D31" s="178"/>
      <c r="E31" s="91"/>
      <c r="F31" s="383"/>
    </row>
    <row r="32" spans="1:6" ht="18" hidden="1">
      <c r="A32" s="298"/>
      <c r="B32" s="80"/>
      <c r="C32" s="91"/>
      <c r="D32" s="178"/>
      <c r="E32" s="91"/>
      <c r="F32" s="383"/>
    </row>
    <row r="33" spans="1:6" ht="18">
      <c r="A33" s="298"/>
      <c r="B33" s="80" t="s">
        <v>524</v>
      </c>
      <c r="C33" s="91"/>
      <c r="D33" s="178"/>
      <c r="E33" s="91"/>
      <c r="F33" s="385"/>
    </row>
    <row r="34" spans="1:6" ht="18">
      <c r="A34" s="298">
        <v>5</v>
      </c>
      <c r="B34" s="80" t="s">
        <v>361</v>
      </c>
      <c r="C34" s="42" t="s">
        <v>144</v>
      </c>
      <c r="D34" s="177">
        <f>SUM(D35:D45)</f>
        <v>0</v>
      </c>
      <c r="E34" s="42" t="s">
        <v>144</v>
      </c>
      <c r="F34" s="384">
        <f>F36+F37+F38+F39+F40+F41+F42+F43+F44</f>
        <v>394443.66</v>
      </c>
    </row>
    <row r="35" spans="1:6" ht="18">
      <c r="A35" s="298"/>
      <c r="B35" s="80" t="s">
        <v>40</v>
      </c>
      <c r="C35" s="91"/>
      <c r="D35" s="178"/>
      <c r="E35" s="91"/>
      <c r="F35" s="385"/>
    </row>
    <row r="36" spans="1:6" ht="26.25" customHeight="1">
      <c r="A36" s="298"/>
      <c r="B36" s="80" t="s">
        <v>647</v>
      </c>
      <c r="C36" s="91"/>
      <c r="D36" s="178"/>
      <c r="E36" s="91">
        <v>1</v>
      </c>
      <c r="F36" s="270">
        <v>385800</v>
      </c>
    </row>
    <row r="37" spans="1:6" ht="54">
      <c r="A37" s="298"/>
      <c r="B37" s="80" t="s">
        <v>469</v>
      </c>
      <c r="C37" s="91"/>
      <c r="D37" s="178"/>
      <c r="E37" s="91">
        <v>1</v>
      </c>
      <c r="F37" s="385">
        <v>8643.66</v>
      </c>
    </row>
    <row r="38" spans="1:6" ht="18">
      <c r="A38" s="298"/>
      <c r="B38" s="80"/>
      <c r="C38" s="91"/>
      <c r="D38" s="178"/>
      <c r="E38" s="91"/>
      <c r="F38" s="385"/>
    </row>
    <row r="39" spans="1:6" ht="18">
      <c r="A39" s="298"/>
      <c r="B39" s="80"/>
      <c r="C39" s="91"/>
      <c r="D39" s="178"/>
      <c r="E39" s="91"/>
      <c r="F39" s="385"/>
    </row>
    <row r="40" spans="1:6" ht="18">
      <c r="A40" s="298"/>
      <c r="B40" s="80"/>
      <c r="C40" s="91"/>
      <c r="D40" s="178"/>
      <c r="E40" s="91"/>
      <c r="F40" s="385"/>
    </row>
    <row r="41" spans="1:6" ht="18">
      <c r="A41" s="298"/>
      <c r="B41" s="80"/>
      <c r="C41" s="91"/>
      <c r="D41" s="178"/>
      <c r="E41" s="91"/>
      <c r="F41" s="385"/>
    </row>
    <row r="42" spans="1:6" ht="18">
      <c r="A42" s="298"/>
      <c r="B42" s="80"/>
      <c r="C42" s="91"/>
      <c r="D42" s="178"/>
      <c r="E42" s="91"/>
      <c r="F42" s="385"/>
    </row>
    <row r="43" spans="1:6" ht="18">
      <c r="A43" s="298"/>
      <c r="B43" s="80"/>
      <c r="C43" s="91"/>
      <c r="D43" s="178"/>
      <c r="E43" s="91"/>
      <c r="F43" s="385"/>
    </row>
    <row r="44" spans="1:6" ht="18">
      <c r="A44" s="298"/>
      <c r="B44" s="80"/>
      <c r="C44" s="91"/>
      <c r="D44" s="178"/>
      <c r="E44" s="91"/>
      <c r="F44" s="258"/>
    </row>
    <row r="45" spans="1:6" ht="21" customHeight="1">
      <c r="A45" s="298"/>
      <c r="B45" s="77" t="s">
        <v>145</v>
      </c>
      <c r="C45" s="100" t="s">
        <v>144</v>
      </c>
      <c r="D45" s="179">
        <f>SUM(D46:D47)</f>
        <v>0</v>
      </c>
      <c r="E45" s="100" t="s">
        <v>144</v>
      </c>
      <c r="F45" s="259">
        <f>F16+F22+F28+F34+F12</f>
        <v>394443.66</v>
      </c>
    </row>
    <row r="48" spans="1:4" s="140" customFormat="1" ht="18.75" customHeight="1">
      <c r="A48" s="188" t="s">
        <v>589</v>
      </c>
      <c r="B48" s="187"/>
      <c r="C48" s="199"/>
      <c r="D48" s="3" t="s">
        <v>753</v>
      </c>
    </row>
    <row r="49" spans="1:4" s="140" customFormat="1" ht="18.75" customHeight="1">
      <c r="A49" s="45" t="s">
        <v>606</v>
      </c>
      <c r="B49" s="183"/>
      <c r="C49" s="185"/>
      <c r="D49" s="3" t="s">
        <v>402</v>
      </c>
    </row>
    <row r="50" spans="1:4" s="140" customFormat="1" ht="18">
      <c r="A50" s="183"/>
      <c r="B50" s="183"/>
      <c r="C50" s="183"/>
      <c r="D50" s="3"/>
    </row>
    <row r="51" spans="1:4" s="140" customFormat="1" ht="18">
      <c r="A51" s="183" t="s">
        <v>408</v>
      </c>
      <c r="B51" s="183"/>
      <c r="C51" s="199"/>
      <c r="D51" s="3" t="s">
        <v>591</v>
      </c>
    </row>
    <row r="52" spans="1:4" s="1" customFormat="1" ht="18.75" customHeight="1">
      <c r="A52" s="45" t="s">
        <v>606</v>
      </c>
      <c r="B52" s="183"/>
      <c r="C52" s="185"/>
      <c r="D52" s="3" t="s">
        <v>402</v>
      </c>
    </row>
  </sheetData>
  <sheetProtection/>
  <mergeCells count="9">
    <mergeCell ref="C9:D9"/>
    <mergeCell ref="E9:F9"/>
    <mergeCell ref="A3:F3"/>
    <mergeCell ref="A6:F6"/>
    <mergeCell ref="A7:F7"/>
    <mergeCell ref="A9:A10"/>
    <mergeCell ref="B9:B10"/>
    <mergeCell ref="A4:F4"/>
    <mergeCell ref="A5:F5"/>
  </mergeCells>
  <printOptions/>
  <pageMargins left="0.7086614173228347" right="0.27" top="0.64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view="pageBreakPreview" zoomScale="52" zoomScaleSheetLayoutView="52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4" sqref="C44"/>
    </sheetView>
  </sheetViews>
  <sheetFormatPr defaultColWidth="9.140625" defaultRowHeight="15"/>
  <cols>
    <col min="1" max="1" width="62.28125" style="6" customWidth="1"/>
    <col min="2" max="2" width="51.140625" style="6" customWidth="1"/>
    <col min="3" max="3" width="54.421875" style="6" customWidth="1"/>
    <col min="4" max="4" width="27.140625" style="6" customWidth="1"/>
    <col min="5" max="16384" width="9.140625" style="6" customWidth="1"/>
  </cols>
  <sheetData>
    <row r="1" spans="2:4" ht="15" customHeight="1" hidden="1">
      <c r="B1" s="3"/>
      <c r="C1" s="3"/>
      <c r="D1" s="59" t="s">
        <v>13</v>
      </c>
    </row>
    <row r="2" spans="2:4" ht="15" customHeight="1" hidden="1">
      <c r="B2" s="3"/>
      <c r="C2" s="3"/>
      <c r="D2" s="9" t="s">
        <v>31</v>
      </c>
    </row>
    <row r="3" spans="2:4" ht="15" customHeight="1" hidden="1">
      <c r="B3" s="3"/>
      <c r="C3" s="3"/>
      <c r="D3" s="9" t="s">
        <v>32</v>
      </c>
    </row>
    <row r="4" spans="2:4" ht="15" customHeight="1" hidden="1">
      <c r="B4" s="3"/>
      <c r="C4" s="3"/>
      <c r="D4" s="9" t="s">
        <v>14</v>
      </c>
    </row>
    <row r="5" spans="2:4" ht="15" customHeight="1" hidden="1">
      <c r="B5" s="3"/>
      <c r="C5" s="3"/>
      <c r="D5" s="9" t="s">
        <v>15</v>
      </c>
    </row>
    <row r="6" spans="2:4" ht="15" customHeight="1" hidden="1">
      <c r="B6" s="3"/>
      <c r="C6" s="3"/>
      <c r="D6" s="9" t="s">
        <v>16</v>
      </c>
    </row>
    <row r="7" spans="2:4" ht="15" customHeight="1" hidden="1">
      <c r="B7" s="3"/>
      <c r="C7" s="3"/>
      <c r="D7" s="59" t="s">
        <v>17</v>
      </c>
    </row>
    <row r="8" spans="1:4" ht="18">
      <c r="A8" s="3"/>
      <c r="B8" s="3"/>
      <c r="C8" s="3"/>
      <c r="D8" s="3"/>
    </row>
    <row r="9" spans="1:4" ht="18">
      <c r="A9" s="3" t="s">
        <v>18</v>
      </c>
      <c r="B9" s="3"/>
      <c r="C9" s="3"/>
      <c r="D9" s="3"/>
    </row>
    <row r="10" spans="1:4" ht="57.75" customHeight="1">
      <c r="A10" s="549" t="s">
        <v>676</v>
      </c>
      <c r="B10" s="549"/>
      <c r="C10" s="549"/>
      <c r="D10" s="549"/>
    </row>
    <row r="11" spans="1:4" ht="18" hidden="1">
      <c r="A11" s="553"/>
      <c r="B11" s="553"/>
      <c r="C11" s="553"/>
      <c r="D11" s="553"/>
    </row>
    <row r="12" spans="1:4" ht="18" hidden="1">
      <c r="A12" s="553"/>
      <c r="B12" s="553"/>
      <c r="C12" s="553"/>
      <c r="D12" s="553"/>
    </row>
    <row r="13" spans="1:4" ht="6" customHeight="1" hidden="1">
      <c r="A13" s="553"/>
      <c r="B13" s="553"/>
      <c r="C13" s="553"/>
      <c r="D13" s="553"/>
    </row>
    <row r="14" spans="1:4" ht="6" customHeight="1" hidden="1">
      <c r="A14" s="3"/>
      <c r="B14" s="3"/>
      <c r="C14" s="3"/>
      <c r="D14" s="3"/>
    </row>
    <row r="15" spans="1:4" ht="18">
      <c r="A15" s="3" t="s">
        <v>19</v>
      </c>
      <c r="B15" s="3"/>
      <c r="C15" s="3"/>
      <c r="D15" s="3"/>
    </row>
    <row r="16" spans="1:4" ht="40.5" customHeight="1">
      <c r="A16" s="554" t="s">
        <v>677</v>
      </c>
      <c r="B16" s="554"/>
      <c r="C16" s="554"/>
      <c r="D16" s="554"/>
    </row>
    <row r="17" spans="1:4" s="101" customFormat="1" ht="39" customHeight="1">
      <c r="A17" s="549" t="s">
        <v>434</v>
      </c>
      <c r="B17" s="549"/>
      <c r="C17" s="549"/>
      <c r="D17" s="549"/>
    </row>
    <row r="18" spans="1:4" s="101" customFormat="1" ht="39" customHeight="1">
      <c r="A18" s="549" t="s">
        <v>432</v>
      </c>
      <c r="B18" s="549"/>
      <c r="C18" s="549"/>
      <c r="D18" s="549"/>
    </row>
    <row r="19" spans="1:4" s="101" customFormat="1" ht="39" customHeight="1">
      <c r="A19" s="550" t="s">
        <v>678</v>
      </c>
      <c r="B19" s="550"/>
      <c r="C19" s="550"/>
      <c r="D19" s="550"/>
    </row>
    <row r="20" spans="1:4" s="101" customFormat="1" ht="39" customHeight="1">
      <c r="A20" s="549" t="s">
        <v>433</v>
      </c>
      <c r="B20" s="549"/>
      <c r="C20" s="549"/>
      <c r="D20" s="549"/>
    </row>
    <row r="21" spans="1:4" ht="43.5" customHeight="1">
      <c r="A21" s="551" t="s">
        <v>26</v>
      </c>
      <c r="B21" s="551"/>
      <c r="C21" s="551"/>
      <c r="D21" s="551"/>
    </row>
    <row r="22" spans="1:4" ht="63.75" customHeight="1">
      <c r="A22" s="552" t="s">
        <v>662</v>
      </c>
      <c r="B22" s="552"/>
      <c r="C22" s="552"/>
      <c r="D22" s="552"/>
    </row>
    <row r="23" spans="1:4" ht="18" hidden="1">
      <c r="A23" s="553"/>
      <c r="B23" s="553"/>
      <c r="C23" s="553"/>
      <c r="D23" s="553"/>
    </row>
    <row r="24" spans="1:4" ht="18" hidden="1">
      <c r="A24" s="553"/>
      <c r="B24" s="553"/>
      <c r="C24" s="553"/>
      <c r="D24" s="553"/>
    </row>
    <row r="25" spans="1:4" ht="18" hidden="1">
      <c r="A25" s="553"/>
      <c r="B25" s="553"/>
      <c r="C25" s="553"/>
      <c r="D25" s="553"/>
    </row>
    <row r="26" spans="1:4" s="3" customFormat="1" ht="41.25" customHeight="1">
      <c r="A26" s="541" t="s">
        <v>690</v>
      </c>
      <c r="B26" s="541"/>
      <c r="C26" s="541"/>
      <c r="D26" s="541"/>
    </row>
    <row r="27" spans="1:4" s="3" customFormat="1" ht="4.5" customHeight="1" hidden="1">
      <c r="A27" s="542"/>
      <c r="B27" s="542"/>
      <c r="C27" s="542"/>
      <c r="D27" s="542"/>
    </row>
    <row r="28" spans="1:4" s="3" customFormat="1" ht="18">
      <c r="A28" s="543" t="s">
        <v>80</v>
      </c>
      <c r="B28" s="543"/>
      <c r="C28" s="543"/>
      <c r="D28" s="543"/>
    </row>
    <row r="29" spans="1:4" s="3" customFormat="1" ht="18.75" customHeight="1">
      <c r="A29" s="545" t="s">
        <v>707</v>
      </c>
      <c r="B29" s="545"/>
      <c r="C29" s="545"/>
      <c r="D29" s="545"/>
    </row>
    <row r="30" spans="1:4" s="3" customFormat="1" ht="14.25" customHeight="1" hidden="1">
      <c r="A30" s="542"/>
      <c r="B30" s="542"/>
      <c r="C30" s="542"/>
      <c r="D30" s="542"/>
    </row>
    <row r="31" spans="1:4" s="183" customFormat="1" ht="22.5" customHeight="1">
      <c r="A31" s="545" t="s">
        <v>453</v>
      </c>
      <c r="B31" s="545"/>
      <c r="C31" s="545"/>
      <c r="D31" s="545"/>
    </row>
    <row r="32" spans="1:4" s="183" customFormat="1" ht="18" hidden="1">
      <c r="A32" s="546"/>
      <c r="B32" s="546"/>
      <c r="C32" s="546"/>
      <c r="D32" s="546"/>
    </row>
    <row r="33" spans="1:4" s="26" customFormat="1" ht="22.5" customHeight="1">
      <c r="A33" s="547" t="s">
        <v>454</v>
      </c>
      <c r="B33" s="547"/>
      <c r="C33" s="547"/>
      <c r="D33" s="547"/>
    </row>
    <row r="34" spans="1:4" ht="18" hidden="1">
      <c r="A34" s="548"/>
      <c r="B34" s="548"/>
      <c r="C34" s="548"/>
      <c r="D34" s="548"/>
    </row>
    <row r="35" spans="1:4" s="3" customFormat="1" ht="21.75" customHeight="1">
      <c r="A35" s="541" t="s">
        <v>691</v>
      </c>
      <c r="B35" s="541"/>
      <c r="C35" s="541"/>
      <c r="D35" s="541"/>
    </row>
    <row r="36" spans="1:4" s="3" customFormat="1" ht="18" hidden="1">
      <c r="A36" s="542"/>
      <c r="B36" s="542"/>
      <c r="C36" s="542"/>
      <c r="D36" s="542"/>
    </row>
    <row r="37" spans="1:4" s="3" customFormat="1" ht="18">
      <c r="A37" s="543" t="s">
        <v>80</v>
      </c>
      <c r="B37" s="543"/>
      <c r="C37" s="543"/>
      <c r="D37" s="543"/>
    </row>
    <row r="38" spans="1:4" ht="18">
      <c r="A38" s="544" t="s">
        <v>692</v>
      </c>
      <c r="B38" s="544"/>
      <c r="C38" s="544"/>
      <c r="D38" s="544"/>
    </row>
    <row r="39" spans="1:4" ht="18" hidden="1">
      <c r="A39" s="238"/>
      <c r="B39" s="193"/>
      <c r="C39" s="193"/>
      <c r="D39" s="193"/>
    </row>
    <row r="40" spans="1:4" ht="18" hidden="1">
      <c r="A40" s="193"/>
      <c r="B40" s="193"/>
      <c r="C40" s="198"/>
      <c r="D40" s="193"/>
    </row>
    <row r="41" spans="1:4" ht="18">
      <c r="A41" s="194"/>
      <c r="B41" s="194"/>
      <c r="C41" s="194"/>
      <c r="D41" s="194"/>
    </row>
    <row r="42" spans="1:4" ht="18">
      <c r="A42" s="194"/>
      <c r="B42" s="194"/>
      <c r="C42" s="194"/>
      <c r="D42" s="194"/>
    </row>
    <row r="43" spans="1:4" s="3" customFormat="1" ht="18">
      <c r="A43" s="188" t="s">
        <v>589</v>
      </c>
      <c r="B43" s="187" t="s">
        <v>385</v>
      </c>
      <c r="C43" s="315" t="s">
        <v>753</v>
      </c>
      <c r="D43" s="192"/>
    </row>
    <row r="44" spans="1:4" s="3" customFormat="1" ht="18">
      <c r="A44" s="183" t="s">
        <v>588</v>
      </c>
      <c r="B44" s="183" t="s">
        <v>386</v>
      </c>
      <c r="C44" s="183" t="s">
        <v>389</v>
      </c>
      <c r="D44" s="191"/>
    </row>
    <row r="45" spans="1:4" ht="18">
      <c r="A45" s="183"/>
      <c r="B45" s="183"/>
      <c r="C45" s="183"/>
      <c r="D45" s="9"/>
    </row>
    <row r="46" spans="1:4" ht="18">
      <c r="A46" s="183" t="s">
        <v>245</v>
      </c>
      <c r="B46" s="183" t="s">
        <v>387</v>
      </c>
      <c r="C46" s="315" t="s">
        <v>591</v>
      </c>
      <c r="D46" s="192"/>
    </row>
    <row r="47" spans="1:4" ht="18">
      <c r="A47" s="183" t="s">
        <v>588</v>
      </c>
      <c r="B47" s="183" t="s">
        <v>388</v>
      </c>
      <c r="C47" s="183" t="s">
        <v>389</v>
      </c>
      <c r="D47" s="191"/>
    </row>
  </sheetData>
  <sheetProtection/>
  <mergeCells count="27">
    <mergeCell ref="A26:D26"/>
    <mergeCell ref="A17:D17"/>
    <mergeCell ref="A10:D10"/>
    <mergeCell ref="A11:D11"/>
    <mergeCell ref="A12:D12"/>
    <mergeCell ref="A13:D13"/>
    <mergeCell ref="A16:D16"/>
    <mergeCell ref="A34:D34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35:D35"/>
    <mergeCell ref="A27:D27"/>
    <mergeCell ref="A28:D28"/>
    <mergeCell ref="A36:D36"/>
    <mergeCell ref="A37:D37"/>
    <mergeCell ref="A38:D38"/>
    <mergeCell ref="A30:D30"/>
    <mergeCell ref="A31:D31"/>
    <mergeCell ref="A32:D32"/>
    <mergeCell ref="A33:D3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40"/>
  <sheetViews>
    <sheetView view="pageBreakPreview" zoomScale="60" zoomScalePageLayoutView="0" workbookViewId="0" topLeftCell="A7">
      <selection activeCell="D35" sqref="D35"/>
    </sheetView>
  </sheetViews>
  <sheetFormatPr defaultColWidth="9.140625" defaultRowHeight="15"/>
  <cols>
    <col min="1" max="1" width="7.28125" style="1" customWidth="1"/>
    <col min="2" max="2" width="91.28125" style="1" customWidth="1"/>
    <col min="3" max="3" width="26.7109375" style="1" customWidth="1"/>
    <col min="4" max="4" width="42.7109375" style="1" customWidth="1"/>
    <col min="5" max="16384" width="8.8515625" style="1" customWidth="1"/>
  </cols>
  <sheetData>
    <row r="1" spans="1:4" ht="18">
      <c r="A1" s="3"/>
      <c r="B1" s="3"/>
      <c r="C1" s="3"/>
      <c r="D1" s="109" t="s">
        <v>268</v>
      </c>
    </row>
    <row r="2" spans="1:4" ht="12.75" customHeight="1">
      <c r="A2" s="3"/>
      <c r="B2" s="3"/>
      <c r="C2" s="3"/>
      <c r="D2" s="3"/>
    </row>
    <row r="3" spans="1:4" ht="29.25" customHeight="1">
      <c r="A3" s="656" t="s">
        <v>237</v>
      </c>
      <c r="B3" s="657"/>
      <c r="C3" s="657"/>
      <c r="D3" s="657"/>
    </row>
    <row r="4" spans="1:4" ht="20.25" customHeight="1">
      <c r="A4" s="660" t="s">
        <v>716</v>
      </c>
      <c r="B4" s="660"/>
      <c r="C4" s="660"/>
      <c r="D4" s="660"/>
    </row>
    <row r="5" spans="1:4" ht="17.25" customHeight="1">
      <c r="A5" s="646" t="s">
        <v>344</v>
      </c>
      <c r="B5" s="646"/>
      <c r="C5" s="646"/>
      <c r="D5" s="646"/>
    </row>
    <row r="6" spans="1:4" s="70" customFormat="1" ht="25.5" customHeight="1">
      <c r="A6" s="660" t="s">
        <v>728</v>
      </c>
      <c r="B6" s="660"/>
      <c r="C6" s="660"/>
      <c r="D6" s="660"/>
    </row>
    <row r="7" spans="1:4" s="70" customFormat="1" ht="18.75" customHeight="1">
      <c r="A7" s="646" t="s">
        <v>252</v>
      </c>
      <c r="B7" s="646"/>
      <c r="C7" s="646"/>
      <c r="D7" s="646"/>
    </row>
    <row r="8" spans="1:4" ht="18">
      <c r="A8" s="84"/>
      <c r="B8" s="3"/>
      <c r="C8" s="3"/>
      <c r="D8" s="3"/>
    </row>
    <row r="9" spans="1:4" s="69" customFormat="1" ht="15.75" customHeight="1">
      <c r="A9" s="654" t="s">
        <v>157</v>
      </c>
      <c r="B9" s="654" t="s">
        <v>278</v>
      </c>
      <c r="C9" s="654" t="s">
        <v>238</v>
      </c>
      <c r="D9" s="654" t="s">
        <v>36</v>
      </c>
    </row>
    <row r="10" spans="1:4" s="69" customFormat="1" ht="15.75" customHeight="1">
      <c r="A10" s="662"/>
      <c r="B10" s="662"/>
      <c r="C10" s="662"/>
      <c r="D10" s="662"/>
    </row>
    <row r="11" spans="1:4" s="69" customFormat="1" ht="15.75" customHeight="1">
      <c r="A11" s="655"/>
      <c r="B11" s="655"/>
      <c r="C11" s="655"/>
      <c r="D11" s="655"/>
    </row>
    <row r="12" spans="1:4" s="110" customFormat="1" ht="15">
      <c r="A12" s="107">
        <v>1</v>
      </c>
      <c r="B12" s="107">
        <v>2</v>
      </c>
      <c r="C12" s="107">
        <v>3</v>
      </c>
      <c r="D12" s="107">
        <v>3</v>
      </c>
    </row>
    <row r="13" spans="1:4" ht="18">
      <c r="A13" s="78">
        <v>1</v>
      </c>
      <c r="B13" s="80" t="s">
        <v>269</v>
      </c>
      <c r="C13" s="78" t="s">
        <v>437</v>
      </c>
      <c r="D13" s="260">
        <f>239655-100000</f>
        <v>139655</v>
      </c>
    </row>
    <row r="14" spans="1:4" ht="18">
      <c r="A14" s="78">
        <v>2</v>
      </c>
      <c r="B14" s="80" t="s">
        <v>270</v>
      </c>
      <c r="C14" s="78"/>
      <c r="D14" s="260"/>
    </row>
    <row r="15" spans="1:4" s="108" customFormat="1" ht="18">
      <c r="A15" s="78">
        <v>3</v>
      </c>
      <c r="B15" s="80" t="s">
        <v>271</v>
      </c>
      <c r="C15" s="78"/>
      <c r="D15" s="260">
        <f>62346-18495</f>
        <v>43851</v>
      </c>
    </row>
    <row r="16" spans="1:4" s="108" customFormat="1" ht="18">
      <c r="A16" s="78">
        <v>4</v>
      </c>
      <c r="B16" s="80" t="s">
        <v>272</v>
      </c>
      <c r="C16" s="75"/>
      <c r="D16" s="260"/>
    </row>
    <row r="17" spans="1:4" s="108" customFormat="1" ht="18">
      <c r="A17" s="78">
        <v>5</v>
      </c>
      <c r="B17" s="80" t="s">
        <v>273</v>
      </c>
      <c r="C17" s="75"/>
      <c r="D17" s="260"/>
    </row>
    <row r="18" spans="1:4" s="108" customFormat="1" ht="18">
      <c r="A18" s="78">
        <v>6</v>
      </c>
      <c r="B18" s="80" t="s">
        <v>274</v>
      </c>
      <c r="C18" s="75"/>
      <c r="D18" s="260"/>
    </row>
    <row r="19" spans="1:4" ht="18">
      <c r="A19" s="78">
        <v>7</v>
      </c>
      <c r="B19" s="80" t="s">
        <v>275</v>
      </c>
      <c r="C19" s="78" t="s">
        <v>476</v>
      </c>
      <c r="D19" s="260">
        <v>0</v>
      </c>
    </row>
    <row r="20" spans="1:4" s="108" customFormat="1" ht="18">
      <c r="A20" s="78">
        <v>8</v>
      </c>
      <c r="B20" s="80" t="s">
        <v>277</v>
      </c>
      <c r="C20" s="75"/>
      <c r="D20" s="247">
        <f>SUM(D22:D30)</f>
        <v>0</v>
      </c>
    </row>
    <row r="21" spans="1:4" ht="18">
      <c r="A21" s="78"/>
      <c r="B21" s="80" t="s">
        <v>276</v>
      </c>
      <c r="C21" s="78"/>
      <c r="D21" s="260"/>
    </row>
    <row r="22" spans="1:4" ht="18">
      <c r="A22" s="202"/>
      <c r="B22" s="80" t="s">
        <v>239</v>
      </c>
      <c r="C22" s="78"/>
      <c r="D22" s="260"/>
    </row>
    <row r="23" spans="1:4" ht="22.5" customHeight="1">
      <c r="A23" s="202"/>
      <c r="B23" s="80" t="s">
        <v>240</v>
      </c>
      <c r="C23" s="78"/>
      <c r="D23" s="260"/>
    </row>
    <row r="24" spans="1:4" ht="18">
      <c r="A24" s="202"/>
      <c r="B24" s="80" t="s">
        <v>241</v>
      </c>
      <c r="C24" s="78"/>
      <c r="D24" s="260"/>
    </row>
    <row r="25" spans="1:4" ht="18">
      <c r="A25" s="202"/>
      <c r="B25" s="80" t="s">
        <v>242</v>
      </c>
      <c r="C25" s="78" t="s">
        <v>437</v>
      </c>
      <c r="D25" s="260"/>
    </row>
    <row r="26" spans="1:4" ht="18">
      <c r="A26" s="201"/>
      <c r="B26" s="80" t="s">
        <v>243</v>
      </c>
      <c r="C26" s="78"/>
      <c r="D26" s="260"/>
    </row>
    <row r="27" spans="1:4" ht="18">
      <c r="A27" s="201"/>
      <c r="B27" s="80" t="s">
        <v>244</v>
      </c>
      <c r="C27" s="78"/>
      <c r="D27" s="260"/>
    </row>
    <row r="28" spans="1:4" ht="18" hidden="1">
      <c r="A28" s="201"/>
      <c r="B28" s="80"/>
      <c r="C28" s="78"/>
      <c r="D28" s="260"/>
    </row>
    <row r="29" spans="1:4" ht="18" hidden="1">
      <c r="A29" s="201"/>
      <c r="B29" s="80"/>
      <c r="C29" s="78"/>
      <c r="D29" s="260"/>
    </row>
    <row r="30" spans="1:4" ht="18" hidden="1">
      <c r="A30" s="201"/>
      <c r="B30" s="79"/>
      <c r="C30" s="78"/>
      <c r="D30" s="260"/>
    </row>
    <row r="31" spans="1:4" s="108" customFormat="1" ht="17.25">
      <c r="A31" s="75"/>
      <c r="B31" s="77" t="s">
        <v>145</v>
      </c>
      <c r="C31" s="100" t="s">
        <v>144</v>
      </c>
      <c r="D31" s="247">
        <f>SUM(D13:D20)</f>
        <v>183506</v>
      </c>
    </row>
    <row r="32" spans="1:4" ht="18">
      <c r="A32" s="128"/>
      <c r="B32" s="3"/>
      <c r="C32" s="3"/>
      <c r="D32" s="3"/>
    </row>
    <row r="33" spans="1:4" s="140" customFormat="1" ht="18.75" customHeight="1">
      <c r="A33" s="184"/>
      <c r="B33" s="186"/>
      <c r="C33" s="183"/>
      <c r="D33" s="9"/>
    </row>
    <row r="34" spans="1:4" s="140" customFormat="1" ht="18.75" customHeight="1">
      <c r="A34" s="188" t="s">
        <v>589</v>
      </c>
      <c r="B34" s="187"/>
      <c r="C34" s="199"/>
      <c r="D34" s="3" t="s">
        <v>753</v>
      </c>
    </row>
    <row r="35" spans="1:4" s="140" customFormat="1" ht="18.75" customHeight="1">
      <c r="A35" s="45" t="s">
        <v>606</v>
      </c>
      <c r="B35" s="183"/>
      <c r="C35" s="185"/>
      <c r="D35" s="3" t="s">
        <v>402</v>
      </c>
    </row>
    <row r="36" spans="1:4" s="140" customFormat="1" ht="18">
      <c r="A36" s="183"/>
      <c r="B36" s="183"/>
      <c r="C36" s="183"/>
      <c r="D36" s="3"/>
    </row>
    <row r="37" spans="1:4" s="140" customFormat="1" ht="18">
      <c r="A37" s="183" t="s">
        <v>408</v>
      </c>
      <c r="B37" s="183"/>
      <c r="C37" s="199"/>
      <c r="D37" s="3" t="s">
        <v>591</v>
      </c>
    </row>
    <row r="38" spans="1:4" ht="18.75" customHeight="1">
      <c r="A38" s="45" t="s">
        <v>606</v>
      </c>
      <c r="B38" s="183"/>
      <c r="C38" s="185"/>
      <c r="D38" s="3" t="s">
        <v>402</v>
      </c>
    </row>
    <row r="39" spans="1:4" ht="18">
      <c r="A39" s="183"/>
      <c r="B39" s="183"/>
      <c r="C39" s="183"/>
      <c r="D39" s="183"/>
    </row>
    <row r="40" spans="1:4" ht="18">
      <c r="A40" s="185"/>
      <c r="B40" s="183"/>
      <c r="C40" s="183"/>
      <c r="D40" s="183"/>
    </row>
  </sheetData>
  <sheetProtection/>
  <mergeCells count="9">
    <mergeCell ref="A3:D3"/>
    <mergeCell ref="A9:A11"/>
    <mergeCell ref="B9:B11"/>
    <mergeCell ref="C9:C11"/>
    <mergeCell ref="D9:D11"/>
    <mergeCell ref="A6:D6"/>
    <mergeCell ref="A7:D7"/>
    <mergeCell ref="A4:D4"/>
    <mergeCell ref="A5:D5"/>
  </mergeCells>
  <printOptions/>
  <pageMargins left="0.7086614173228347" right="0.2" top="0.36" bottom="0.24" header="0.31496062992125984" footer="0.18"/>
  <pageSetup fitToHeight="1" fitToWidth="1" horizontalDpi="600" verticalDpi="6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26"/>
  <sheetViews>
    <sheetView view="pageBreakPreview" zoomScale="60" zoomScalePageLayoutView="0" workbookViewId="0" topLeftCell="A1">
      <selection activeCell="D23" sqref="D23"/>
    </sheetView>
  </sheetViews>
  <sheetFormatPr defaultColWidth="9.140625" defaultRowHeight="15"/>
  <cols>
    <col min="1" max="1" width="7.421875" style="6" customWidth="1"/>
    <col min="2" max="2" width="69.00390625" style="6" customWidth="1"/>
    <col min="3" max="3" width="20.00390625" style="6" customWidth="1"/>
    <col min="4" max="4" width="19.28125" style="6" customWidth="1"/>
    <col min="5" max="5" width="23.57421875" style="6" customWidth="1"/>
    <col min="6" max="16384" width="9.140625" style="6" customWidth="1"/>
  </cols>
  <sheetData>
    <row r="1" ht="18">
      <c r="E1" s="372" t="s">
        <v>264</v>
      </c>
    </row>
    <row r="3" spans="1:5" ht="17.25">
      <c r="A3" s="644" t="s">
        <v>234</v>
      </c>
      <c r="B3" s="644"/>
      <c r="C3" s="644"/>
      <c r="D3" s="644"/>
      <c r="E3" s="644"/>
    </row>
    <row r="4" spans="1:5" ht="29.25" customHeight="1">
      <c r="A4" s="660" t="s">
        <v>716</v>
      </c>
      <c r="B4" s="660"/>
      <c r="C4" s="660"/>
      <c r="D4" s="660"/>
      <c r="E4" s="660"/>
    </row>
    <row r="5" spans="1:5" s="70" customFormat="1" ht="19.5" customHeight="1">
      <c r="A5" s="646" t="s">
        <v>344</v>
      </c>
      <c r="B5" s="646"/>
      <c r="C5" s="646"/>
      <c r="D5" s="646"/>
      <c r="E5" s="646"/>
    </row>
    <row r="6" spans="1:5" s="70" customFormat="1" ht="32.25" customHeight="1">
      <c r="A6" s="660" t="s">
        <v>728</v>
      </c>
      <c r="B6" s="660"/>
      <c r="C6" s="660"/>
      <c r="D6" s="660"/>
      <c r="E6" s="660"/>
    </row>
    <row r="7" spans="1:5" s="70" customFormat="1" ht="22.5" customHeight="1">
      <c r="A7" s="646" t="s">
        <v>252</v>
      </c>
      <c r="B7" s="646"/>
      <c r="C7" s="646"/>
      <c r="D7" s="646"/>
      <c r="E7" s="646"/>
    </row>
    <row r="8" spans="1:5" s="70" customFormat="1" ht="18" customHeight="1">
      <c r="A8" s="6"/>
      <c r="B8" s="6"/>
      <c r="C8" s="6"/>
      <c r="D8" s="6"/>
      <c r="E8" s="6"/>
    </row>
    <row r="9" ht="18">
      <c r="A9" s="84"/>
    </row>
    <row r="10" spans="1:5" ht="36">
      <c r="A10" s="337" t="s">
        <v>157</v>
      </c>
      <c r="B10" s="337" t="s">
        <v>156</v>
      </c>
      <c r="C10" s="337" t="s">
        <v>195</v>
      </c>
      <c r="D10" s="337" t="s">
        <v>235</v>
      </c>
      <c r="E10" s="337" t="s">
        <v>236</v>
      </c>
    </row>
    <row r="11" spans="1:5" s="120" customFormat="1" ht="18">
      <c r="A11" s="91">
        <v>1</v>
      </c>
      <c r="B11" s="91">
        <v>2</v>
      </c>
      <c r="C11" s="91">
        <v>3</v>
      </c>
      <c r="D11" s="91">
        <v>4</v>
      </c>
      <c r="E11" s="91">
        <v>5</v>
      </c>
    </row>
    <row r="12" spans="1:5" s="36" customFormat="1" ht="39" customHeight="1">
      <c r="A12" s="93"/>
      <c r="B12" s="83" t="s">
        <v>635</v>
      </c>
      <c r="C12" s="93">
        <v>2</v>
      </c>
      <c r="D12" s="373">
        <v>11500</v>
      </c>
      <c r="E12" s="121">
        <f>C12*D12</f>
        <v>23000</v>
      </c>
    </row>
    <row r="13" spans="1:5" s="36" customFormat="1" ht="45" customHeight="1">
      <c r="A13" s="93"/>
      <c r="B13" s="80"/>
      <c r="C13" s="93"/>
      <c r="D13" s="93"/>
      <c r="E13" s="121">
        <f>D13*C13</f>
        <v>0</v>
      </c>
    </row>
    <row r="14" spans="1:5" s="36" customFormat="1" ht="13.5">
      <c r="A14" s="93"/>
      <c r="B14" s="94"/>
      <c r="C14" s="93"/>
      <c r="D14" s="93"/>
      <c r="E14" s="121">
        <f>D14</f>
        <v>0</v>
      </c>
    </row>
    <row r="15" spans="1:5" s="36" customFormat="1" ht="13.5">
      <c r="A15" s="93"/>
      <c r="B15" s="94"/>
      <c r="C15" s="93"/>
      <c r="D15" s="93"/>
      <c r="E15" s="121">
        <f>D15</f>
        <v>0</v>
      </c>
    </row>
    <row r="16" spans="1:5" s="36" customFormat="1" ht="13.5">
      <c r="A16" s="93"/>
      <c r="B16" s="94"/>
      <c r="C16" s="93"/>
      <c r="D16" s="93"/>
      <c r="E16" s="121">
        <f>D16</f>
        <v>0</v>
      </c>
    </row>
    <row r="17" spans="1:5" s="36" customFormat="1" ht="13.5">
      <c r="A17" s="93"/>
      <c r="B17" s="94"/>
      <c r="C17" s="93"/>
      <c r="D17" s="93"/>
      <c r="E17" s="121">
        <f>D17</f>
        <v>0</v>
      </c>
    </row>
    <row r="18" spans="1:5" s="36" customFormat="1" ht="13.5">
      <c r="A18" s="93"/>
      <c r="B18" s="94"/>
      <c r="C18" s="93"/>
      <c r="D18" s="93"/>
      <c r="E18" s="121">
        <f>D18</f>
        <v>0</v>
      </c>
    </row>
    <row r="19" spans="1:5" s="61" customFormat="1" ht="27" customHeight="1">
      <c r="A19" s="75"/>
      <c r="B19" s="77" t="s">
        <v>145</v>
      </c>
      <c r="C19" s="100" t="s">
        <v>144</v>
      </c>
      <c r="D19" s="100" t="s">
        <v>144</v>
      </c>
      <c r="E19" s="121">
        <f>SUM(E12:E18)</f>
        <v>23000</v>
      </c>
    </row>
    <row r="22" spans="2:4" s="129" customFormat="1" ht="18">
      <c r="B22" s="129" t="s">
        <v>589</v>
      </c>
      <c r="D22" s="3" t="s">
        <v>753</v>
      </c>
    </row>
    <row r="23" spans="2:4" s="129" customFormat="1" ht="18">
      <c r="B23" s="137" t="s">
        <v>606</v>
      </c>
      <c r="D23" s="3" t="s">
        <v>402</v>
      </c>
    </row>
    <row r="24" s="131" customFormat="1" ht="18">
      <c r="D24" s="3"/>
    </row>
    <row r="25" spans="2:4" s="129" customFormat="1" ht="18">
      <c r="B25" s="129" t="s">
        <v>408</v>
      </c>
      <c r="D25" s="3" t="s">
        <v>591</v>
      </c>
    </row>
    <row r="26" spans="2:4" s="129" customFormat="1" ht="18">
      <c r="B26" s="137" t="s">
        <v>606</v>
      </c>
      <c r="D26" s="3" t="s">
        <v>402</v>
      </c>
    </row>
  </sheetData>
  <sheetProtection/>
  <mergeCells count="5">
    <mergeCell ref="A4:E4"/>
    <mergeCell ref="A5:E5"/>
    <mergeCell ref="A6:E6"/>
    <mergeCell ref="A3:E3"/>
    <mergeCell ref="A7:E7"/>
  </mergeCells>
  <printOptions/>
  <pageMargins left="0.7086614173228347" right="0.32" top="0.7480314960629921" bottom="0.37" header="0.31496062992125984" footer="0.31496062992125984"/>
  <pageSetup fitToHeight="1" fitToWidth="1" horizontalDpi="600" verticalDpi="6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view="pageBreakPreview" zoomScale="60" zoomScalePageLayoutView="0" workbookViewId="0" topLeftCell="A23">
      <selection activeCell="H38" sqref="H38"/>
    </sheetView>
  </sheetViews>
  <sheetFormatPr defaultColWidth="9.140625" defaultRowHeight="15"/>
  <cols>
    <col min="1" max="1" width="5.00390625" style="131" customWidth="1"/>
    <col min="2" max="2" width="33.00390625" style="131" customWidth="1"/>
    <col min="3" max="3" width="14.00390625" style="131" customWidth="1"/>
    <col min="4" max="7" width="13.28125" style="131" customWidth="1"/>
    <col min="8" max="8" width="13.7109375" style="131" customWidth="1"/>
    <col min="9" max="9" width="14.421875" style="131" customWidth="1"/>
    <col min="10" max="10" width="18.421875" style="131" customWidth="1"/>
    <col min="11" max="11" width="13.28125" style="131" customWidth="1"/>
    <col min="12" max="12" width="0" style="131" hidden="1" customWidth="1"/>
    <col min="13" max="13" width="17.7109375" style="131" customWidth="1"/>
    <col min="14" max="16384" width="9.140625" style="131" customWidth="1"/>
  </cols>
  <sheetData>
    <row r="1" spans="1:11" s="70" customFormat="1" ht="16.5" customHeight="1" hidden="1">
      <c r="A1" s="3"/>
      <c r="B1" s="99"/>
      <c r="C1" s="67"/>
      <c r="D1" s="67"/>
      <c r="E1" s="67"/>
      <c r="K1" s="11" t="s">
        <v>159</v>
      </c>
    </row>
    <row r="2" spans="1:11" s="70" customFormat="1" ht="18.75" customHeight="1" hidden="1">
      <c r="A2" s="3"/>
      <c r="B2" s="99"/>
      <c r="C2" s="67"/>
      <c r="D2" s="67"/>
      <c r="E2" s="67"/>
      <c r="K2" s="9" t="s">
        <v>31</v>
      </c>
    </row>
    <row r="3" spans="1:11" s="70" customFormat="1" ht="18.75" customHeight="1" hidden="1">
      <c r="A3" s="3"/>
      <c r="B3" s="99"/>
      <c r="C3" s="67"/>
      <c r="D3" s="67"/>
      <c r="E3" s="67"/>
      <c r="K3" s="9" t="s">
        <v>32</v>
      </c>
    </row>
    <row r="4" spans="1:11" s="70" customFormat="1" ht="18.75" customHeight="1" hidden="1">
      <c r="A4" s="3"/>
      <c r="B4" s="99"/>
      <c r="C4" s="67"/>
      <c r="D4" s="67"/>
      <c r="E4" s="67"/>
      <c r="K4" s="9" t="s">
        <v>14</v>
      </c>
    </row>
    <row r="5" spans="1:11" s="70" customFormat="1" ht="18.75" customHeight="1" hidden="1">
      <c r="A5" s="3"/>
      <c r="B5" s="99"/>
      <c r="C5" s="67"/>
      <c r="D5" s="67"/>
      <c r="E5" s="67"/>
      <c r="K5" s="9" t="s">
        <v>15</v>
      </c>
    </row>
    <row r="6" spans="1:11" s="70" customFormat="1" ht="18.75" customHeight="1" hidden="1">
      <c r="A6" s="3"/>
      <c r="B6" s="99"/>
      <c r="C6" s="67"/>
      <c r="D6" s="67"/>
      <c r="E6" s="67"/>
      <c r="K6" s="9" t="s">
        <v>16</v>
      </c>
    </row>
    <row r="7" spans="1:11" s="70" customFormat="1" ht="18.75" customHeight="1" hidden="1">
      <c r="A7" s="3"/>
      <c r="B7" s="99"/>
      <c r="C7" s="67"/>
      <c r="D7" s="67"/>
      <c r="E7" s="67"/>
      <c r="K7" s="68" t="s">
        <v>17</v>
      </c>
    </row>
    <row r="8" spans="1:12" s="70" customFormat="1" ht="14.25" customHeight="1">
      <c r="A8" s="3"/>
      <c r="B8" s="99"/>
      <c r="C8" s="67"/>
      <c r="D8" s="67"/>
      <c r="E8" s="67"/>
      <c r="F8" s="67"/>
      <c r="L8" s="74"/>
    </row>
    <row r="9" spans="1:12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1" t="s">
        <v>302</v>
      </c>
      <c r="L9" s="130"/>
    </row>
    <row r="10" spans="1:12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28.5" customHeight="1">
      <c r="A11" s="630" t="s">
        <v>303</v>
      </c>
      <c r="B11" s="631"/>
      <c r="C11" s="631"/>
      <c r="D11" s="631"/>
      <c r="E11" s="631"/>
      <c r="F11" s="631"/>
      <c r="G11" s="631"/>
      <c r="H11" s="631"/>
      <c r="I11" s="631"/>
      <c r="J11" s="631"/>
      <c r="K11" s="129"/>
      <c r="L11" s="130"/>
    </row>
    <row r="12" spans="1:12" ht="28.5" customHeight="1">
      <c r="A12" s="146"/>
      <c r="B12" s="645" t="s">
        <v>717</v>
      </c>
      <c r="C12" s="645"/>
      <c r="D12" s="645"/>
      <c r="E12" s="645"/>
      <c r="F12" s="645"/>
      <c r="G12" s="645"/>
      <c r="H12" s="645"/>
      <c r="I12" s="645"/>
      <c r="J12" s="645"/>
      <c r="K12" s="645"/>
      <c r="L12" s="130"/>
    </row>
    <row r="13" spans="1:12" ht="19.5" customHeight="1">
      <c r="A13" s="146"/>
      <c r="B13" s="646" t="s">
        <v>346</v>
      </c>
      <c r="C13" s="646"/>
      <c r="D13" s="646"/>
      <c r="E13" s="646"/>
      <c r="F13" s="646"/>
      <c r="G13" s="646"/>
      <c r="H13" s="646"/>
      <c r="I13" s="646"/>
      <c r="J13" s="646"/>
      <c r="K13" s="646"/>
      <c r="L13" s="130"/>
    </row>
    <row r="14" spans="1:11" s="70" customFormat="1" ht="27.75">
      <c r="A14" s="84"/>
      <c r="B14" s="645" t="s">
        <v>713</v>
      </c>
      <c r="C14" s="645"/>
      <c r="D14" s="645"/>
      <c r="E14" s="645"/>
      <c r="F14" s="645"/>
      <c r="G14" s="645"/>
      <c r="H14" s="645"/>
      <c r="I14" s="645"/>
      <c r="J14" s="645"/>
      <c r="K14" s="645"/>
    </row>
    <row r="15" spans="1:11" s="70" customFormat="1" ht="24.75" customHeight="1">
      <c r="A15" s="84"/>
      <c r="B15" s="646" t="s">
        <v>252</v>
      </c>
      <c r="C15" s="646"/>
      <c r="D15" s="646"/>
      <c r="E15" s="646"/>
      <c r="F15" s="646"/>
      <c r="G15" s="646"/>
      <c r="H15" s="646"/>
      <c r="I15" s="646"/>
      <c r="J15" s="646"/>
      <c r="K15" s="646"/>
    </row>
    <row r="16" spans="1:12" ht="6.75" customHeight="1">
      <c r="A16" s="132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31.5" customHeight="1">
      <c r="A17" s="634" t="s">
        <v>157</v>
      </c>
      <c r="B17" s="634" t="s">
        <v>279</v>
      </c>
      <c r="C17" s="634" t="s">
        <v>280</v>
      </c>
      <c r="D17" s="636" t="s">
        <v>281</v>
      </c>
      <c r="E17" s="637"/>
      <c r="F17" s="637"/>
      <c r="G17" s="638"/>
      <c r="H17" s="634" t="s">
        <v>298</v>
      </c>
      <c r="I17" s="634" t="s">
        <v>297</v>
      </c>
      <c r="J17" s="639" t="s">
        <v>299</v>
      </c>
      <c r="K17" s="641" t="s">
        <v>294</v>
      </c>
      <c r="L17" s="130"/>
    </row>
    <row r="18" spans="1:12" ht="17.25">
      <c r="A18" s="635"/>
      <c r="B18" s="635"/>
      <c r="C18" s="635"/>
      <c r="D18" s="634" t="s">
        <v>95</v>
      </c>
      <c r="E18" s="636" t="s">
        <v>301</v>
      </c>
      <c r="F18" s="637"/>
      <c r="G18" s="638"/>
      <c r="H18" s="635"/>
      <c r="I18" s="635"/>
      <c r="J18" s="640"/>
      <c r="K18" s="642"/>
      <c r="L18" s="130"/>
    </row>
    <row r="19" spans="1:12" ht="73.5" customHeight="1">
      <c r="A19" s="635"/>
      <c r="B19" s="635"/>
      <c r="C19" s="635"/>
      <c r="D19" s="635"/>
      <c r="E19" s="147" t="s">
        <v>282</v>
      </c>
      <c r="F19" s="147" t="s">
        <v>283</v>
      </c>
      <c r="G19" s="147" t="s">
        <v>284</v>
      </c>
      <c r="H19" s="635"/>
      <c r="I19" s="635"/>
      <c r="J19" s="640"/>
      <c r="K19" s="642"/>
      <c r="L19" s="130"/>
    </row>
    <row r="20" spans="1:11" s="139" customFormat="1" ht="30.75" customHeight="1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 t="s">
        <v>300</v>
      </c>
      <c r="K20" s="138">
        <v>11</v>
      </c>
    </row>
    <row r="21" spans="1:12" ht="18">
      <c r="A21" s="154">
        <v>1</v>
      </c>
      <c r="B21" s="155" t="s">
        <v>285</v>
      </c>
      <c r="C21" s="320">
        <v>1</v>
      </c>
      <c r="D21" s="320">
        <v>38.293</v>
      </c>
      <c r="E21" s="320">
        <v>30.634</v>
      </c>
      <c r="F21" s="320">
        <v>7.659</v>
      </c>
      <c r="G21" s="320">
        <v>0</v>
      </c>
      <c r="H21" s="320">
        <v>16.206</v>
      </c>
      <c r="I21" s="156">
        <v>300</v>
      </c>
      <c r="J21" s="156">
        <f aca="true" t="shared" si="0" ref="J21:J30">D21*12+H21+I21</f>
        <v>775.722</v>
      </c>
      <c r="K21" s="133">
        <f>J21/12/C21</f>
        <v>64.6435</v>
      </c>
      <c r="L21" s="156"/>
    </row>
    <row r="22" spans="1:12" ht="31.5">
      <c r="A22" s="154">
        <f aca="true" t="shared" si="1" ref="A22:A31">A21+1</f>
        <v>2</v>
      </c>
      <c r="B22" s="155" t="s">
        <v>286</v>
      </c>
      <c r="C22" s="320"/>
      <c r="D22" s="320"/>
      <c r="E22" s="320"/>
      <c r="F22" s="320"/>
      <c r="G22" s="320"/>
      <c r="H22" s="320"/>
      <c r="I22" s="156"/>
      <c r="J22" s="156"/>
      <c r="K22" s="133"/>
      <c r="L22" s="156"/>
    </row>
    <row r="23" spans="1:12" ht="31.5">
      <c r="A23" s="154">
        <f t="shared" si="1"/>
        <v>3</v>
      </c>
      <c r="B23" s="155" t="s">
        <v>287</v>
      </c>
      <c r="C23" s="320"/>
      <c r="D23" s="320"/>
      <c r="E23" s="320"/>
      <c r="F23" s="320"/>
      <c r="G23" s="320"/>
      <c r="H23" s="320"/>
      <c r="I23" s="156"/>
      <c r="J23" s="156"/>
      <c r="K23" s="133"/>
      <c r="L23" s="156"/>
    </row>
    <row r="24" spans="1:12" ht="87" customHeight="1">
      <c r="A24" s="154">
        <f t="shared" si="1"/>
        <v>4</v>
      </c>
      <c r="B24" s="157" t="s">
        <v>343</v>
      </c>
      <c r="C24" s="320">
        <v>16</v>
      </c>
      <c r="D24" s="320">
        <v>335.716</v>
      </c>
      <c r="E24" s="320">
        <v>236.16</v>
      </c>
      <c r="F24" s="320">
        <v>72.324</v>
      </c>
      <c r="G24" s="320">
        <v>27.232</v>
      </c>
      <c r="H24" s="320">
        <v>170.78</v>
      </c>
      <c r="I24" s="156">
        <v>155.43</v>
      </c>
      <c r="J24" s="156">
        <f t="shared" si="0"/>
        <v>4354.802000000001</v>
      </c>
      <c r="K24" s="133">
        <f>J24/12/C24</f>
        <v>22.68126041666667</v>
      </c>
      <c r="L24" s="156">
        <f>200+13.94362+153.632</f>
        <v>367.57562</v>
      </c>
    </row>
    <row r="25" spans="1:12" ht="18">
      <c r="A25" s="154">
        <f t="shared" si="1"/>
        <v>5</v>
      </c>
      <c r="B25" s="157" t="s">
        <v>288</v>
      </c>
      <c r="C25" s="320"/>
      <c r="D25" s="320"/>
      <c r="E25" s="320"/>
      <c r="F25" s="320"/>
      <c r="G25" s="320"/>
      <c r="H25" s="320"/>
      <c r="I25" s="156"/>
      <c r="J25" s="156"/>
      <c r="K25" s="133"/>
      <c r="L25" s="156"/>
    </row>
    <row r="26" spans="1:12" ht="100.5" customHeight="1">
      <c r="A26" s="154">
        <f t="shared" si="1"/>
        <v>6</v>
      </c>
      <c r="B26" s="157" t="s">
        <v>289</v>
      </c>
      <c r="C26" s="320">
        <v>28</v>
      </c>
      <c r="D26" s="320">
        <v>359.773</v>
      </c>
      <c r="E26" s="320">
        <v>261.893</v>
      </c>
      <c r="F26" s="320">
        <v>65.473</v>
      </c>
      <c r="G26" s="320">
        <v>32.406</v>
      </c>
      <c r="H26" s="320">
        <v>263.556</v>
      </c>
      <c r="I26" s="156">
        <v>762.72</v>
      </c>
      <c r="J26" s="156">
        <f t="shared" si="0"/>
        <v>5343.552</v>
      </c>
      <c r="K26" s="133">
        <f aca="true" t="shared" si="2" ref="K26:K32">J26/12/C26</f>
        <v>15.903428571428572</v>
      </c>
      <c r="L26" s="156">
        <f>100-76.277+15.0226</f>
        <v>38.745599999999996</v>
      </c>
    </row>
    <row r="27" spans="1:12" ht="18">
      <c r="A27" s="154">
        <f t="shared" si="1"/>
        <v>7</v>
      </c>
      <c r="B27" s="157" t="s">
        <v>290</v>
      </c>
      <c r="C27" s="320">
        <v>1</v>
      </c>
      <c r="D27" s="320">
        <v>8.332</v>
      </c>
      <c r="E27" s="320">
        <v>7.245</v>
      </c>
      <c r="F27" s="320">
        <v>0</v>
      </c>
      <c r="G27" s="320">
        <v>1.087</v>
      </c>
      <c r="H27" s="320">
        <v>39.98</v>
      </c>
      <c r="I27" s="156">
        <v>129.08</v>
      </c>
      <c r="J27" s="156">
        <f t="shared" si="0"/>
        <v>269.044</v>
      </c>
      <c r="K27" s="133">
        <f>J27/12/C27</f>
        <v>22.420333333333332</v>
      </c>
      <c r="L27" s="156">
        <f>42.66792+190.519+15.0226</f>
        <v>248.20952000000003</v>
      </c>
    </row>
    <row r="28" spans="1:12" ht="18">
      <c r="A28" s="154">
        <f t="shared" si="1"/>
        <v>8</v>
      </c>
      <c r="B28" s="157" t="s">
        <v>245</v>
      </c>
      <c r="C28" s="320">
        <v>1</v>
      </c>
      <c r="D28" s="320">
        <v>32.549</v>
      </c>
      <c r="E28" s="320">
        <v>26.039</v>
      </c>
      <c r="F28" s="320">
        <v>6.51</v>
      </c>
      <c r="G28" s="320">
        <v>0</v>
      </c>
      <c r="H28" s="320">
        <v>13.775</v>
      </c>
      <c r="I28" s="156">
        <v>100</v>
      </c>
      <c r="J28" s="156">
        <f t="shared" si="0"/>
        <v>504.36299999999994</v>
      </c>
      <c r="K28" s="133">
        <f t="shared" si="2"/>
        <v>42.030249999999995</v>
      </c>
      <c r="L28" s="156"/>
    </row>
    <row r="29" spans="1:12" ht="31.5">
      <c r="A29" s="154">
        <f t="shared" si="1"/>
        <v>9</v>
      </c>
      <c r="B29" s="157" t="s">
        <v>291</v>
      </c>
      <c r="C29" s="320"/>
      <c r="D29" s="320">
        <f>E29+F29+G29</f>
        <v>0</v>
      </c>
      <c r="E29" s="320"/>
      <c r="F29" s="320"/>
      <c r="G29" s="320"/>
      <c r="H29" s="320"/>
      <c r="I29" s="156"/>
      <c r="J29" s="156">
        <f t="shared" si="0"/>
        <v>0</v>
      </c>
      <c r="K29" s="133"/>
      <c r="L29" s="156"/>
    </row>
    <row r="30" spans="1:12" ht="18">
      <c r="A30" s="154">
        <f t="shared" si="1"/>
        <v>10</v>
      </c>
      <c r="B30" s="157" t="s">
        <v>292</v>
      </c>
      <c r="C30" s="320"/>
      <c r="D30" s="320">
        <f>E30+F30+G30</f>
        <v>0</v>
      </c>
      <c r="E30" s="320"/>
      <c r="F30" s="320"/>
      <c r="G30" s="320"/>
      <c r="H30" s="320"/>
      <c r="I30" s="156"/>
      <c r="J30" s="156">
        <f t="shared" si="0"/>
        <v>0</v>
      </c>
      <c r="K30" s="133"/>
      <c r="L30" s="156"/>
    </row>
    <row r="31" spans="1:12" ht="41.25" customHeight="1">
      <c r="A31" s="154">
        <f t="shared" si="1"/>
        <v>11</v>
      </c>
      <c r="B31" s="157" t="s">
        <v>293</v>
      </c>
      <c r="C31" s="320">
        <v>18</v>
      </c>
      <c r="D31" s="320">
        <v>121.986</v>
      </c>
      <c r="E31" s="320">
        <v>100.165</v>
      </c>
      <c r="F31" s="320">
        <v>10.577</v>
      </c>
      <c r="G31" s="320">
        <v>11.244</v>
      </c>
      <c r="H31" s="320">
        <v>340.116</v>
      </c>
      <c r="I31" s="156">
        <v>678.07</v>
      </c>
      <c r="J31" s="156">
        <f>D31*12+H31+I31-0.02</f>
        <v>2481.998</v>
      </c>
      <c r="K31" s="133">
        <f t="shared" si="2"/>
        <v>11.490731481481482</v>
      </c>
      <c r="L31" s="156">
        <f>53.919+15.0228</f>
        <v>68.9418</v>
      </c>
    </row>
    <row r="32" spans="1:13" s="136" customFormat="1" ht="18">
      <c r="A32" s="643" t="s">
        <v>145</v>
      </c>
      <c r="B32" s="643"/>
      <c r="C32" s="321">
        <f>SUM(C21:C31)</f>
        <v>65</v>
      </c>
      <c r="D32" s="321">
        <f aca="true" t="shared" si="3" ref="D32:J32">SUM(D21:D31)</f>
        <v>896.649</v>
      </c>
      <c r="E32" s="321">
        <f t="shared" si="3"/>
        <v>662.1359999999999</v>
      </c>
      <c r="F32" s="321">
        <f t="shared" si="3"/>
        <v>162.543</v>
      </c>
      <c r="G32" s="321">
        <f t="shared" si="3"/>
        <v>71.969</v>
      </c>
      <c r="H32" s="321">
        <f t="shared" si="3"/>
        <v>844.413</v>
      </c>
      <c r="I32" s="134">
        <f t="shared" si="3"/>
        <v>2125.3</v>
      </c>
      <c r="J32" s="134">
        <f t="shared" si="3"/>
        <v>13729.481</v>
      </c>
      <c r="K32" s="133">
        <f t="shared" si="2"/>
        <v>17.601898717948718</v>
      </c>
      <c r="L32" s="135"/>
      <c r="M32" s="297"/>
    </row>
    <row r="33" spans="1:12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2:13" ht="15">
      <c r="B34" s="137" t="s">
        <v>295</v>
      </c>
      <c r="M34" s="253"/>
    </row>
    <row r="35" ht="15">
      <c r="B35" s="137" t="s">
        <v>296</v>
      </c>
    </row>
    <row r="36" ht="30.75" customHeight="1"/>
    <row r="37" spans="2:8" s="129" customFormat="1" ht="18">
      <c r="B37" s="129" t="s">
        <v>589</v>
      </c>
      <c r="H37" s="3" t="s">
        <v>753</v>
      </c>
    </row>
    <row r="38" spans="2:8" s="129" customFormat="1" ht="18">
      <c r="B38" s="137" t="s">
        <v>606</v>
      </c>
      <c r="H38" s="3" t="s">
        <v>402</v>
      </c>
    </row>
    <row r="39" ht="18">
      <c r="H39" s="3"/>
    </row>
    <row r="40" spans="2:8" s="129" customFormat="1" ht="18">
      <c r="B40" s="129" t="s">
        <v>408</v>
      </c>
      <c r="H40" s="3" t="s">
        <v>591</v>
      </c>
    </row>
    <row r="41" spans="2:8" s="129" customFormat="1" ht="18">
      <c r="B41" s="137" t="s">
        <v>606</v>
      </c>
      <c r="H41" s="3" t="s">
        <v>402</v>
      </c>
    </row>
  </sheetData>
  <sheetProtection/>
  <mergeCells count="16">
    <mergeCell ref="A32:B32"/>
    <mergeCell ref="J17:J19"/>
    <mergeCell ref="A11:J11"/>
    <mergeCell ref="A17:A19"/>
    <mergeCell ref="B17:B19"/>
    <mergeCell ref="C17:C19"/>
    <mergeCell ref="D17:G17"/>
    <mergeCell ref="H17:H19"/>
    <mergeCell ref="I17:I19"/>
    <mergeCell ref="B14:K14"/>
    <mergeCell ref="B15:K15"/>
    <mergeCell ref="K17:K19"/>
    <mergeCell ref="D18:D19"/>
    <mergeCell ref="E18:G18"/>
    <mergeCell ref="B12:K12"/>
    <mergeCell ref="B13:K13"/>
  </mergeCells>
  <printOptions/>
  <pageMargins left="0.1968503937007874" right="0.1968503937007874" top="0.3" bottom="0.1968503937007874" header="0.81" footer="0.21"/>
  <pageSetup fitToHeight="2" horizontalDpi="600" verticalDpi="600" orientation="landscape" paperSize="9" scale="71" r:id="rId1"/>
  <rowBreaks count="1" manualBreakCount="1">
    <brk id="3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="60" zoomScalePageLayoutView="0" workbookViewId="0" topLeftCell="A7">
      <selection activeCell="E17" sqref="E17"/>
    </sheetView>
  </sheetViews>
  <sheetFormatPr defaultColWidth="9.140625" defaultRowHeight="15"/>
  <cols>
    <col min="1" max="1" width="5.7109375" style="3" customWidth="1"/>
    <col min="2" max="2" width="55.7109375" style="3" customWidth="1"/>
    <col min="3" max="3" width="20.8515625" style="3" customWidth="1"/>
    <col min="4" max="4" width="21.8515625" style="3" customWidth="1"/>
    <col min="5" max="5" width="31.28125" style="3" customWidth="1"/>
    <col min="6" max="6" width="29.8515625" style="3" customWidth="1"/>
    <col min="7" max="16384" width="8.8515625" style="3" customWidth="1"/>
  </cols>
  <sheetData>
    <row r="1" spans="5:6" ht="18">
      <c r="E1" s="11"/>
      <c r="F1" s="11" t="s">
        <v>248</v>
      </c>
    </row>
    <row r="2" spans="5:6" ht="18">
      <c r="E2" s="9"/>
      <c r="F2" s="9"/>
    </row>
    <row r="3" spans="1:6" ht="45" customHeight="1">
      <c r="A3" s="656" t="s">
        <v>704</v>
      </c>
      <c r="B3" s="657"/>
      <c r="C3" s="657"/>
      <c r="D3" s="657"/>
      <c r="E3" s="657"/>
      <c r="F3" s="657"/>
    </row>
    <row r="4" spans="1:6" ht="26.25" customHeight="1">
      <c r="A4" s="149"/>
      <c r="B4" s="632" t="s">
        <v>716</v>
      </c>
      <c r="C4" s="632"/>
      <c r="D4" s="632"/>
      <c r="E4" s="632"/>
      <c r="F4" s="150"/>
    </row>
    <row r="5" spans="1:6" ht="20.25" customHeight="1">
      <c r="A5" s="149"/>
      <c r="B5" s="646" t="s">
        <v>344</v>
      </c>
      <c r="C5" s="646"/>
      <c r="D5" s="646"/>
      <c r="E5" s="646"/>
      <c r="F5" s="150"/>
    </row>
    <row r="6" spans="1:5" s="70" customFormat="1" ht="27.75" customHeight="1">
      <c r="A6" s="84"/>
      <c r="B6" s="645" t="s">
        <v>712</v>
      </c>
      <c r="C6" s="645"/>
      <c r="D6" s="645"/>
      <c r="E6" s="645"/>
    </row>
    <row r="7" spans="1:5" s="70" customFormat="1" ht="24.75" customHeight="1">
      <c r="A7" s="84"/>
      <c r="B7" s="633" t="s">
        <v>252</v>
      </c>
      <c r="C7" s="633"/>
      <c r="D7" s="633"/>
      <c r="E7" s="633"/>
    </row>
    <row r="8" ht="18">
      <c r="A8" s="84"/>
    </row>
    <row r="9" spans="1:6" ht="75" customHeight="1">
      <c r="A9" s="111" t="s">
        <v>157</v>
      </c>
      <c r="B9" s="111" t="s">
        <v>156</v>
      </c>
      <c r="C9" s="151" t="s">
        <v>173</v>
      </c>
      <c r="D9" s="151" t="s">
        <v>172</v>
      </c>
      <c r="E9" s="151" t="s">
        <v>171</v>
      </c>
      <c r="F9" s="241" t="s">
        <v>36</v>
      </c>
    </row>
    <row r="10" spans="1:6" ht="15" customHeight="1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91">
        <v>6</v>
      </c>
    </row>
    <row r="11" spans="1:6" ht="108">
      <c r="A11" s="42">
        <v>1</v>
      </c>
      <c r="B11" s="43" t="s">
        <v>705</v>
      </c>
      <c r="C11" s="210">
        <v>21</v>
      </c>
      <c r="D11" s="210">
        <v>3</v>
      </c>
      <c r="E11" s="300">
        <v>691.53</v>
      </c>
      <c r="F11" s="78">
        <f>C11*D11*E11</f>
        <v>43566.39</v>
      </c>
    </row>
    <row r="12" spans="1:6" ht="27" customHeight="1">
      <c r="A12" s="42">
        <v>2</v>
      </c>
      <c r="B12" s="83" t="s">
        <v>170</v>
      </c>
      <c r="C12" s="78">
        <v>5</v>
      </c>
      <c r="D12" s="78">
        <v>12</v>
      </c>
      <c r="E12" s="114">
        <v>50</v>
      </c>
      <c r="F12" s="78">
        <f>C12*D12*E12</f>
        <v>3000</v>
      </c>
    </row>
    <row r="13" spans="1:6" ht="18">
      <c r="A13" s="78"/>
      <c r="B13" s="79"/>
      <c r="C13" s="210"/>
      <c r="D13" s="210"/>
      <c r="E13" s="300" t="str">
        <f>IF(C13*D13=0," ",C13*D13)</f>
        <v> </v>
      </c>
      <c r="F13" s="210"/>
    </row>
    <row r="14" spans="1:6" ht="18">
      <c r="A14" s="78"/>
      <c r="B14" s="77" t="s">
        <v>145</v>
      </c>
      <c r="C14" s="397" t="s">
        <v>144</v>
      </c>
      <c r="D14" s="397" t="s">
        <v>144</v>
      </c>
      <c r="E14" s="398">
        <f>IF(SUM(E11:E13)=0," ",SUM(E11:E13))</f>
        <v>741.53</v>
      </c>
      <c r="F14" s="398">
        <f>IF(SUM(F11:F13)=0," ",SUM(F11:F13))</f>
        <v>46566.39</v>
      </c>
    </row>
    <row r="16" spans="2:5" ht="18">
      <c r="B16" s="3" t="s">
        <v>589</v>
      </c>
      <c r="E16" s="3" t="s">
        <v>753</v>
      </c>
    </row>
    <row r="17" spans="2:5" ht="18">
      <c r="B17" s="1" t="s">
        <v>606</v>
      </c>
      <c r="E17" s="3" t="s">
        <v>402</v>
      </c>
    </row>
    <row r="19" spans="2:5" ht="18">
      <c r="B19" s="3" t="s">
        <v>408</v>
      </c>
      <c r="E19" s="3" t="s">
        <v>591</v>
      </c>
    </row>
    <row r="20" spans="2:5" ht="18">
      <c r="B20" s="1" t="s">
        <v>606</v>
      </c>
      <c r="E20" s="3" t="s">
        <v>402</v>
      </c>
    </row>
    <row r="21" ht="18">
      <c r="B21" s="1"/>
    </row>
  </sheetData>
  <sheetProtection/>
  <mergeCells count="5">
    <mergeCell ref="A3:F3"/>
    <mergeCell ref="B6:E6"/>
    <mergeCell ref="B7:E7"/>
    <mergeCell ref="B4:E4"/>
    <mergeCell ref="B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1"/>
  <sheetViews>
    <sheetView view="pageBreakPreview" zoomScale="60" zoomScaleNormal="68" zoomScalePageLayoutView="0" workbookViewId="0" topLeftCell="B1">
      <selection activeCell="D26" sqref="D26"/>
    </sheetView>
  </sheetViews>
  <sheetFormatPr defaultColWidth="9.140625" defaultRowHeight="15"/>
  <cols>
    <col min="1" max="1" width="7.28125" style="6" customWidth="1"/>
    <col min="2" max="2" width="105.140625" style="6" customWidth="1"/>
    <col min="3" max="3" width="52.28125" style="3" customWidth="1"/>
    <col min="4" max="4" width="66.140625" style="6" customWidth="1"/>
    <col min="5" max="16384" width="9.140625" style="6" customWidth="1"/>
  </cols>
  <sheetData>
    <row r="1" spans="1:4" ht="18">
      <c r="A1" s="3"/>
      <c r="B1" s="3"/>
      <c r="D1" s="11" t="s">
        <v>118</v>
      </c>
    </row>
    <row r="2" spans="1:4" ht="18">
      <c r="A2" s="3"/>
      <c r="B2" s="3"/>
      <c r="D2" s="3"/>
    </row>
    <row r="3" spans="1:8" ht="71.25" customHeight="1">
      <c r="A3" s="656" t="s">
        <v>181</v>
      </c>
      <c r="B3" s="656"/>
      <c r="C3" s="656"/>
      <c r="D3" s="656"/>
      <c r="E3" s="21"/>
      <c r="F3" s="21"/>
      <c r="G3" s="21"/>
      <c r="H3" s="21"/>
    </row>
    <row r="4" spans="1:8" ht="27" customHeight="1">
      <c r="A4" s="237"/>
      <c r="B4" s="632" t="s">
        <v>716</v>
      </c>
      <c r="C4" s="632"/>
      <c r="D4" s="632"/>
      <c r="E4" s="21"/>
      <c r="F4" s="21"/>
      <c r="G4" s="21"/>
      <c r="H4" s="21"/>
    </row>
    <row r="5" spans="1:8" ht="28.5" customHeight="1">
      <c r="A5" s="237"/>
      <c r="B5" s="646" t="s">
        <v>344</v>
      </c>
      <c r="C5" s="646"/>
      <c r="D5" s="646"/>
      <c r="E5" s="21"/>
      <c r="F5" s="21"/>
      <c r="G5" s="21"/>
      <c r="H5" s="21"/>
    </row>
    <row r="6" spans="1:5" s="70" customFormat="1" ht="27.75" customHeight="1">
      <c r="A6" s="84"/>
      <c r="B6" s="645" t="s">
        <v>714</v>
      </c>
      <c r="C6" s="645"/>
      <c r="D6" s="645"/>
      <c r="E6" s="645"/>
    </row>
    <row r="7" spans="1:4" s="70" customFormat="1" ht="19.5" customHeight="1">
      <c r="A7" s="84"/>
      <c r="B7" s="646" t="s">
        <v>252</v>
      </c>
      <c r="C7" s="646"/>
      <c r="D7" s="646"/>
    </row>
    <row r="8" spans="1:4" ht="18">
      <c r="A8" s="84"/>
      <c r="B8" s="3"/>
      <c r="D8" s="3"/>
    </row>
    <row r="9" spans="1:4" ht="57.75" customHeight="1">
      <c r="A9" s="42" t="s">
        <v>157</v>
      </c>
      <c r="B9" s="42" t="s">
        <v>180</v>
      </c>
      <c r="C9" s="233" t="s">
        <v>179</v>
      </c>
      <c r="D9" s="233" t="s">
        <v>178</v>
      </c>
    </row>
    <row r="10" spans="1:4" ht="18">
      <c r="A10" s="91">
        <v>1</v>
      </c>
      <c r="B10" s="42">
        <v>2</v>
      </c>
      <c r="C10" s="90">
        <v>3</v>
      </c>
      <c r="D10" s="119">
        <v>4</v>
      </c>
    </row>
    <row r="11" spans="1:4" s="25" customFormat="1" ht="24" customHeight="1">
      <c r="A11" s="42">
        <v>1</v>
      </c>
      <c r="B11" s="96" t="s">
        <v>347</v>
      </c>
      <c r="C11" s="170"/>
      <c r="D11" s="244">
        <f>SUM(D13:D15)</f>
        <v>3020485.82</v>
      </c>
    </row>
    <row r="12" spans="1:4" ht="18">
      <c r="A12" s="43"/>
      <c r="B12" s="96" t="s">
        <v>40</v>
      </c>
      <c r="C12" s="170"/>
      <c r="D12" s="244"/>
    </row>
    <row r="13" spans="1:4" ht="18">
      <c r="A13" s="171"/>
      <c r="B13" s="96" t="s">
        <v>177</v>
      </c>
      <c r="C13" s="170">
        <f>'111 ОМС'!J32*1000</f>
        <v>13729481</v>
      </c>
      <c r="D13" s="244">
        <f>C13*0.22</f>
        <v>3020485.82</v>
      </c>
    </row>
    <row r="14" spans="1:4" ht="18">
      <c r="A14" s="42"/>
      <c r="B14" s="96" t="s">
        <v>176</v>
      </c>
      <c r="C14" s="170"/>
      <c r="D14" s="244"/>
    </row>
    <row r="15" spans="1:4" ht="18" hidden="1">
      <c r="A15" s="43"/>
      <c r="B15" s="43"/>
      <c r="C15" s="170"/>
      <c r="D15" s="244"/>
    </row>
    <row r="16" spans="1:4" s="25" customFormat="1" ht="60" customHeight="1">
      <c r="A16" s="42">
        <v>2</v>
      </c>
      <c r="B16" s="96" t="s">
        <v>348</v>
      </c>
      <c r="C16" s="170">
        <f>C13</f>
        <v>13729481</v>
      </c>
      <c r="D16" s="244">
        <f>C16*0.029</f>
        <v>398154.949</v>
      </c>
    </row>
    <row r="17" spans="1:4" ht="20.25" customHeight="1" hidden="1">
      <c r="A17" s="42"/>
      <c r="B17" s="96"/>
      <c r="C17" s="170"/>
      <c r="D17" s="244"/>
    </row>
    <row r="18" spans="1:4" s="25" customFormat="1" ht="57" customHeight="1">
      <c r="A18" s="42">
        <v>4</v>
      </c>
      <c r="B18" s="96" t="s">
        <v>175</v>
      </c>
      <c r="C18" s="170">
        <f>C16</f>
        <v>13729481</v>
      </c>
      <c r="D18" s="244">
        <f>C18*0.002</f>
        <v>27458.962</v>
      </c>
    </row>
    <row r="19" spans="1:4" ht="18" hidden="1">
      <c r="A19" s="43"/>
      <c r="B19" s="43"/>
      <c r="C19" s="170"/>
      <c r="D19" s="244"/>
    </row>
    <row r="20" spans="1:4" s="25" customFormat="1" ht="39" customHeight="1">
      <c r="A20" s="42">
        <v>5</v>
      </c>
      <c r="B20" s="96" t="s">
        <v>174</v>
      </c>
      <c r="C20" s="170">
        <f>C13</f>
        <v>13729481</v>
      </c>
      <c r="D20" s="244">
        <f>C20*0.051-0.26</f>
        <v>700203.271</v>
      </c>
    </row>
    <row r="21" spans="1:4" ht="24.75" customHeight="1" hidden="1">
      <c r="A21" s="42"/>
      <c r="B21" s="96"/>
      <c r="C21" s="170"/>
      <c r="D21" s="244"/>
    </row>
    <row r="22" spans="1:4" s="25" customFormat="1" ht="18">
      <c r="A22" s="43"/>
      <c r="B22" s="96" t="s">
        <v>145</v>
      </c>
      <c r="C22" s="42" t="s">
        <v>144</v>
      </c>
      <c r="D22" s="244">
        <f>SUM(D11+D16+D18+D20)</f>
        <v>4146303.0019999994</v>
      </c>
    </row>
    <row r="25" spans="2:4" s="3" customFormat="1" ht="18">
      <c r="B25" s="3" t="s">
        <v>589</v>
      </c>
      <c r="D25" s="3" t="s">
        <v>753</v>
      </c>
    </row>
    <row r="26" spans="2:4" s="3" customFormat="1" ht="18">
      <c r="B26" s="1" t="s">
        <v>606</v>
      </c>
      <c r="D26" s="3" t="s">
        <v>402</v>
      </c>
    </row>
    <row r="27" s="3" customFormat="1" ht="18"/>
    <row r="28" spans="2:4" s="3" customFormat="1" ht="18">
      <c r="B28" s="3" t="s">
        <v>408</v>
      </c>
      <c r="D28" s="3" t="s">
        <v>591</v>
      </c>
    </row>
    <row r="29" spans="2:4" s="3" customFormat="1" ht="18">
      <c r="B29" s="1" t="s">
        <v>606</v>
      </c>
      <c r="D29" s="3" t="s">
        <v>402</v>
      </c>
    </row>
    <row r="30" s="3" customFormat="1" ht="18"/>
    <row r="31" s="3" customFormat="1" ht="18">
      <c r="B31" s="1" t="s">
        <v>404</v>
      </c>
    </row>
    <row r="32" s="3" customFormat="1" ht="18"/>
    <row r="33" s="3" customFormat="1" ht="18"/>
  </sheetData>
  <sheetProtection/>
  <mergeCells count="5">
    <mergeCell ref="A3:D3"/>
    <mergeCell ref="B4:D4"/>
    <mergeCell ref="B5:D5"/>
    <mergeCell ref="B7:D7"/>
    <mergeCell ref="B6:E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view="pageBreakPreview" zoomScale="60" zoomScalePageLayoutView="0" workbookViewId="0" topLeftCell="A1">
      <selection activeCell="D24" sqref="D24"/>
    </sheetView>
  </sheetViews>
  <sheetFormatPr defaultColWidth="9.140625" defaultRowHeight="15"/>
  <cols>
    <col min="2" max="2" width="58.7109375" style="0" customWidth="1"/>
    <col min="3" max="3" width="18.421875" style="0" customWidth="1"/>
    <col min="4" max="4" width="15.7109375" style="0" customWidth="1"/>
    <col min="5" max="5" width="28.28125" style="0" customWidth="1"/>
  </cols>
  <sheetData>
    <row r="1" spans="1:5" ht="14.25">
      <c r="A1" s="644" t="s">
        <v>220</v>
      </c>
      <c r="B1" s="659"/>
      <c r="C1" s="659"/>
      <c r="D1" s="659"/>
      <c r="E1" s="659"/>
    </row>
    <row r="2" spans="1:5" ht="18">
      <c r="A2" s="660" t="s">
        <v>716</v>
      </c>
      <c r="B2" s="660"/>
      <c r="C2" s="660"/>
      <c r="D2" s="660"/>
      <c r="E2" s="660"/>
    </row>
    <row r="3" spans="1:5" ht="15">
      <c r="A3" s="633" t="s">
        <v>344</v>
      </c>
      <c r="B3" s="633"/>
      <c r="C3" s="633"/>
      <c r="D3" s="633"/>
      <c r="E3" s="633"/>
    </row>
    <row r="4" spans="1:5" ht="36" customHeight="1">
      <c r="A4" s="661" t="s">
        <v>712</v>
      </c>
      <c r="B4" s="661"/>
      <c r="C4" s="661"/>
      <c r="D4" s="661"/>
      <c r="E4" s="661"/>
    </row>
    <row r="5" spans="1:5" ht="15">
      <c r="A5" s="633" t="s">
        <v>252</v>
      </c>
      <c r="B5" s="633"/>
      <c r="C5" s="633"/>
      <c r="D5" s="633"/>
      <c r="E5" s="633"/>
    </row>
    <row r="6" spans="1:5" ht="14.25">
      <c r="A6" s="6"/>
      <c r="B6" s="6"/>
      <c r="C6" s="6"/>
      <c r="D6" s="6"/>
      <c r="E6" s="6"/>
    </row>
    <row r="7" spans="1:5" ht="18">
      <c r="A7" s="84"/>
      <c r="B7" s="6"/>
      <c r="C7" s="6"/>
      <c r="D7" s="6"/>
      <c r="E7" s="6"/>
    </row>
    <row r="8" spans="1:5" ht="14.25">
      <c r="A8" s="654" t="s">
        <v>157</v>
      </c>
      <c r="B8" s="654" t="s">
        <v>156</v>
      </c>
      <c r="C8" s="654" t="s">
        <v>221</v>
      </c>
      <c r="D8" s="654" t="s">
        <v>222</v>
      </c>
      <c r="E8" s="654" t="s">
        <v>258</v>
      </c>
    </row>
    <row r="9" spans="1:5" ht="14.25">
      <c r="A9" s="662"/>
      <c r="B9" s="662"/>
      <c r="C9" s="662"/>
      <c r="D9" s="662"/>
      <c r="E9" s="662"/>
    </row>
    <row r="10" spans="1:5" ht="14.25">
      <c r="A10" s="655"/>
      <c r="B10" s="655"/>
      <c r="C10" s="655"/>
      <c r="D10" s="655"/>
      <c r="E10" s="655"/>
    </row>
    <row r="11" spans="1:5" ht="31.5" customHeight="1">
      <c r="A11" s="103">
        <v>1</v>
      </c>
      <c r="B11" s="42">
        <v>2</v>
      </c>
      <c r="C11" s="42">
        <v>3</v>
      </c>
      <c r="D11" s="42">
        <v>4</v>
      </c>
      <c r="E11" s="42" t="s">
        <v>438</v>
      </c>
    </row>
    <row r="12" spans="1:5" ht="27.75" customHeight="1">
      <c r="A12" s="92"/>
      <c r="B12" s="221" t="s">
        <v>259</v>
      </c>
      <c r="C12" s="92" t="s">
        <v>144</v>
      </c>
      <c r="D12" s="92" t="s">
        <v>144</v>
      </c>
      <c r="E12" s="261">
        <f>E14+E17</f>
        <v>60739</v>
      </c>
    </row>
    <row r="13" spans="1:5" ht="29.25" customHeight="1">
      <c r="A13" s="86"/>
      <c r="B13" s="80" t="s">
        <v>223</v>
      </c>
      <c r="C13" s="300"/>
      <c r="D13" s="300"/>
      <c r="E13" s="270"/>
    </row>
    <row r="14" spans="1:5" ht="18" customHeight="1">
      <c r="A14" s="86"/>
      <c r="B14" s="80" t="s">
        <v>224</v>
      </c>
      <c r="C14" s="300">
        <v>3036941</v>
      </c>
      <c r="D14" s="300">
        <v>2</v>
      </c>
      <c r="E14" s="270">
        <f>C14*D14/100+0.18</f>
        <v>60739</v>
      </c>
    </row>
    <row r="15" spans="1:5" ht="19.5" customHeight="1">
      <c r="A15" s="86"/>
      <c r="B15" s="80" t="s">
        <v>38</v>
      </c>
      <c r="C15" s="300"/>
      <c r="D15" s="300"/>
      <c r="E15" s="270"/>
    </row>
    <row r="16" spans="1:5" ht="17.25" customHeight="1">
      <c r="A16" s="86"/>
      <c r="B16" s="80" t="s">
        <v>225</v>
      </c>
      <c r="C16" s="300"/>
      <c r="D16" s="300"/>
      <c r="E16" s="270"/>
    </row>
    <row r="17" spans="1:6" ht="23.25" customHeight="1">
      <c r="A17" s="86"/>
      <c r="B17" s="80" t="s">
        <v>226</v>
      </c>
      <c r="C17" s="300"/>
      <c r="D17" s="300">
        <v>2</v>
      </c>
      <c r="E17" s="270">
        <f>C17*D17/100</f>
        <v>0</v>
      </c>
      <c r="F17">
        <v>13382</v>
      </c>
    </row>
    <row r="18" spans="1:5" ht="16.5" customHeight="1">
      <c r="A18" s="86"/>
      <c r="B18" s="80" t="s">
        <v>38</v>
      </c>
      <c r="C18" s="300"/>
      <c r="D18" s="300"/>
      <c r="E18" s="270"/>
    </row>
    <row r="19" spans="1:5" ht="23.25" customHeight="1">
      <c r="A19" s="86"/>
      <c r="B19" s="80" t="s">
        <v>225</v>
      </c>
      <c r="C19" s="300"/>
      <c r="D19" s="300"/>
      <c r="E19" s="270"/>
    </row>
    <row r="20" spans="1:5" ht="18">
      <c r="A20" s="86"/>
      <c r="B20" s="88"/>
      <c r="C20" s="300"/>
      <c r="D20" s="300"/>
      <c r="E20" s="270"/>
    </row>
    <row r="21" spans="1:5" ht="18">
      <c r="A21" s="86"/>
      <c r="B21" s="88"/>
      <c r="C21" s="114"/>
      <c r="D21" s="114"/>
      <c r="E21" s="260"/>
    </row>
    <row r="22" spans="1:6" ht="14.25">
      <c r="A22" s="6"/>
      <c r="B22" s="6"/>
      <c r="C22" s="6"/>
      <c r="D22" s="6"/>
      <c r="E22" s="6"/>
      <c r="F22">
        <v>506000</v>
      </c>
    </row>
    <row r="23" spans="2:6" s="3" customFormat="1" ht="18">
      <c r="B23" s="3" t="s">
        <v>589</v>
      </c>
      <c r="E23" s="3" t="s">
        <v>753</v>
      </c>
      <c r="F23" s="6"/>
    </row>
    <row r="24" spans="2:6" s="3" customFormat="1" ht="18">
      <c r="B24" s="3" t="s">
        <v>606</v>
      </c>
      <c r="E24" s="3" t="s">
        <v>727</v>
      </c>
      <c r="F24" s="6"/>
    </row>
    <row r="25" s="3" customFormat="1" ht="18">
      <c r="F25" s="6"/>
    </row>
    <row r="26" spans="2:6" s="3" customFormat="1" ht="18">
      <c r="B26" s="3" t="s">
        <v>408</v>
      </c>
      <c r="E26" s="3" t="s">
        <v>591</v>
      </c>
      <c r="F26" s="6"/>
    </row>
    <row r="27" spans="2:6" s="3" customFormat="1" ht="18">
      <c r="B27" s="3" t="s">
        <v>606</v>
      </c>
      <c r="E27" s="3" t="s">
        <v>127</v>
      </c>
      <c r="F27" s="6"/>
    </row>
  </sheetData>
  <sheetProtection/>
  <mergeCells count="10">
    <mergeCell ref="A1:E1"/>
    <mergeCell ref="A2:E2"/>
    <mergeCell ref="A3:E3"/>
    <mergeCell ref="A4:E4"/>
    <mergeCell ref="A5:E5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view="pageBreakPreview" zoomScale="62" zoomScaleSheetLayoutView="62" zoomScalePageLayoutView="0" workbookViewId="0" topLeftCell="A1">
      <selection activeCell="A8" sqref="A8:E8"/>
    </sheetView>
  </sheetViews>
  <sheetFormatPr defaultColWidth="9.140625" defaultRowHeight="15"/>
  <cols>
    <col min="1" max="1" width="8.421875" style="6" customWidth="1"/>
    <col min="2" max="2" width="67.57421875" style="6" customWidth="1"/>
    <col min="3" max="3" width="30.7109375" style="6" customWidth="1"/>
    <col min="4" max="4" width="21.140625" style="6" customWidth="1"/>
    <col min="5" max="5" width="35.7109375" style="6" customWidth="1"/>
    <col min="6" max="16384" width="9.140625" style="6" customWidth="1"/>
  </cols>
  <sheetData>
    <row r="1" ht="18">
      <c r="E1" s="11" t="s">
        <v>261</v>
      </c>
    </row>
    <row r="4" spans="1:5" ht="24.75" customHeight="1">
      <c r="A4" s="656" t="s">
        <v>227</v>
      </c>
      <c r="B4" s="671"/>
      <c r="C4" s="671"/>
      <c r="D4" s="671"/>
      <c r="E4" s="671"/>
    </row>
    <row r="5" spans="1:5" ht="33" customHeight="1">
      <c r="A5" s="660" t="s">
        <v>596</v>
      </c>
      <c r="B5" s="660"/>
      <c r="C5" s="660"/>
      <c r="D5" s="660"/>
      <c r="E5" s="660"/>
    </row>
    <row r="6" spans="1:5" ht="15.75" customHeight="1">
      <c r="A6" s="633" t="s">
        <v>344</v>
      </c>
      <c r="B6" s="633"/>
      <c r="C6" s="633"/>
      <c r="D6" s="633"/>
      <c r="E6" s="633"/>
    </row>
    <row r="7" spans="1:5" s="70" customFormat="1" ht="44.25" customHeight="1">
      <c r="A7" s="661" t="s">
        <v>715</v>
      </c>
      <c r="B7" s="661"/>
      <c r="C7" s="661"/>
      <c r="D7" s="661"/>
      <c r="E7" s="661"/>
    </row>
    <row r="8" spans="1:5" s="70" customFormat="1" ht="17.25" customHeight="1">
      <c r="A8" s="633" t="s">
        <v>252</v>
      </c>
      <c r="B8" s="633"/>
      <c r="C8" s="633"/>
      <c r="D8" s="633"/>
      <c r="E8" s="633"/>
    </row>
    <row r="9" ht="18">
      <c r="A9" s="84"/>
    </row>
    <row r="10" spans="1:5" ht="80.25" customHeight="1">
      <c r="A10" s="235" t="s">
        <v>157</v>
      </c>
      <c r="B10" s="235" t="s">
        <v>156</v>
      </c>
      <c r="C10" s="235" t="s">
        <v>228</v>
      </c>
      <c r="D10" s="235" t="s">
        <v>222</v>
      </c>
      <c r="E10" s="235" t="s">
        <v>36</v>
      </c>
    </row>
    <row r="11" spans="1:5" s="104" customFormat="1" ht="19.5" customHeight="1">
      <c r="A11" s="42">
        <v>1</v>
      </c>
      <c r="B11" s="42">
        <v>2</v>
      </c>
      <c r="C11" s="42">
        <v>3</v>
      </c>
      <c r="D11" s="42">
        <v>4</v>
      </c>
      <c r="E11" s="42" t="s">
        <v>257</v>
      </c>
    </row>
    <row r="12" spans="1:5" s="25" customFormat="1" ht="35.25" customHeight="1">
      <c r="A12" s="76"/>
      <c r="B12" s="77" t="s">
        <v>229</v>
      </c>
      <c r="C12" s="123" t="s">
        <v>144</v>
      </c>
      <c r="D12" s="123" t="s">
        <v>144</v>
      </c>
      <c r="E12" s="259">
        <f>SUM(E14:E16)</f>
        <v>0</v>
      </c>
    </row>
    <row r="13" spans="1:5" ht="22.5" customHeight="1">
      <c r="A13" s="86"/>
      <c r="B13" s="80" t="s">
        <v>230</v>
      </c>
      <c r="C13" s="124"/>
      <c r="D13" s="124"/>
      <c r="E13" s="124"/>
    </row>
    <row r="14" spans="1:5" ht="36" customHeight="1">
      <c r="A14" s="86" t="s">
        <v>441</v>
      </c>
      <c r="B14" s="87"/>
      <c r="C14" s="324"/>
      <c r="D14" s="324"/>
      <c r="E14" s="324">
        <f>C14*D14/100</f>
        <v>0</v>
      </c>
    </row>
    <row r="15" spans="1:5" ht="22.5" customHeight="1" hidden="1">
      <c r="A15" s="86"/>
      <c r="B15" s="80"/>
      <c r="C15" s="124"/>
      <c r="D15" s="124"/>
      <c r="E15" s="124"/>
    </row>
    <row r="16" spans="1:5" ht="18.75" customHeight="1" hidden="1">
      <c r="A16" s="86"/>
      <c r="B16" s="88"/>
      <c r="C16" s="124"/>
      <c r="D16" s="124"/>
      <c r="E16" s="124"/>
    </row>
    <row r="19" spans="2:6" s="3" customFormat="1" ht="18">
      <c r="B19" s="3" t="s">
        <v>589</v>
      </c>
      <c r="E19" s="3" t="s">
        <v>590</v>
      </c>
      <c r="F19" s="6"/>
    </row>
    <row r="20" spans="2:6" s="3" customFormat="1" ht="18">
      <c r="B20" s="3" t="s">
        <v>606</v>
      </c>
      <c r="E20" s="3" t="s">
        <v>402</v>
      </c>
      <c r="F20" s="6"/>
    </row>
    <row r="21" s="3" customFormat="1" ht="18">
      <c r="F21" s="6"/>
    </row>
    <row r="22" spans="2:6" s="3" customFormat="1" ht="18">
      <c r="B22" s="3" t="s">
        <v>408</v>
      </c>
      <c r="E22" s="3" t="s">
        <v>591</v>
      </c>
      <c r="F22" s="6"/>
    </row>
    <row r="23" spans="2:6" s="3" customFormat="1" ht="18">
      <c r="B23" s="3" t="s">
        <v>606</v>
      </c>
      <c r="E23" s="3" t="s">
        <v>402</v>
      </c>
      <c r="F23" s="6"/>
    </row>
    <row r="24" s="3" customFormat="1" ht="18"/>
    <row r="25" s="3" customFormat="1" ht="18"/>
    <row r="26" s="3" customFormat="1" ht="18">
      <c r="B26" s="3" t="s">
        <v>405</v>
      </c>
    </row>
  </sheetData>
  <sheetProtection/>
  <mergeCells count="5">
    <mergeCell ref="A4:E4"/>
    <mergeCell ref="A5:E5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5"/>
  <cols>
    <col min="1" max="1" width="5.7109375" style="6" customWidth="1"/>
    <col min="2" max="2" width="65.7109375" style="6" customWidth="1"/>
    <col min="3" max="3" width="25.8515625" style="6" customWidth="1"/>
    <col min="4" max="4" width="21.00390625" style="6" customWidth="1"/>
    <col min="5" max="5" width="23.7109375" style="6" customWidth="1"/>
    <col min="6" max="6" width="60.28125" style="6" customWidth="1"/>
    <col min="7" max="16384" width="9.140625" style="6" customWidth="1"/>
  </cols>
  <sheetData>
    <row r="1" spans="1:6" ht="18">
      <c r="A1" s="3"/>
      <c r="B1" s="3"/>
      <c r="C1" s="3"/>
      <c r="D1" s="3"/>
      <c r="E1" s="3"/>
      <c r="F1" s="424" t="s">
        <v>263</v>
      </c>
    </row>
    <row r="2" spans="1:6" ht="18">
      <c r="A2" s="3"/>
      <c r="B2" s="3"/>
      <c r="C2" s="3"/>
      <c r="D2" s="3"/>
      <c r="E2" s="3"/>
      <c r="F2" s="3"/>
    </row>
    <row r="3" spans="1:6" ht="17.25">
      <c r="A3" s="644" t="s">
        <v>231</v>
      </c>
      <c r="B3" s="644"/>
      <c r="C3" s="644"/>
      <c r="D3" s="644"/>
      <c r="E3" s="644"/>
      <c r="F3" s="644"/>
    </row>
    <row r="4" spans="1:6" ht="18">
      <c r="A4" s="660" t="s">
        <v>716</v>
      </c>
      <c r="B4" s="660"/>
      <c r="C4" s="660"/>
      <c r="D4" s="660"/>
      <c r="E4" s="660"/>
      <c r="F4" s="660"/>
    </row>
    <row r="5" spans="1:6" ht="18">
      <c r="A5" s="663" t="s">
        <v>344</v>
      </c>
      <c r="B5" s="663"/>
      <c r="C5" s="663"/>
      <c r="D5" s="663"/>
      <c r="E5" s="663"/>
      <c r="F5" s="663"/>
    </row>
    <row r="6" spans="1:6" ht="18">
      <c r="A6" s="174"/>
      <c r="B6" s="660" t="s">
        <v>633</v>
      </c>
      <c r="C6" s="660"/>
      <c r="D6" s="660"/>
      <c r="E6" s="660"/>
      <c r="F6" s="660"/>
    </row>
    <row r="7" spans="1:6" ht="18">
      <c r="A7" s="663" t="s">
        <v>252</v>
      </c>
      <c r="B7" s="663"/>
      <c r="C7" s="663"/>
      <c r="D7" s="663"/>
      <c r="E7" s="663"/>
      <c r="F7" s="663"/>
    </row>
    <row r="8" spans="1:6" ht="18">
      <c r="A8" s="84"/>
      <c r="B8" s="3"/>
      <c r="C8" s="3"/>
      <c r="D8" s="3"/>
      <c r="E8" s="3"/>
      <c r="F8" s="3"/>
    </row>
    <row r="9" spans="1:6" ht="54">
      <c r="A9" s="425" t="s">
        <v>157</v>
      </c>
      <c r="B9" s="425" t="s">
        <v>156</v>
      </c>
      <c r="C9" s="425" t="s">
        <v>406</v>
      </c>
      <c r="D9" s="425" t="s">
        <v>221</v>
      </c>
      <c r="E9" s="425" t="s">
        <v>366</v>
      </c>
      <c r="F9" s="425" t="s">
        <v>232</v>
      </c>
    </row>
    <row r="10" spans="1:6" ht="18">
      <c r="A10" s="337">
        <v>1</v>
      </c>
      <c r="B10" s="337">
        <v>2</v>
      </c>
      <c r="C10" s="337"/>
      <c r="D10" s="337">
        <v>3</v>
      </c>
      <c r="E10" s="337">
        <v>4</v>
      </c>
      <c r="F10" s="337">
        <v>5</v>
      </c>
    </row>
    <row r="11" spans="1:6" ht="23.25" customHeight="1">
      <c r="A11" s="81">
        <v>1</v>
      </c>
      <c r="B11" s="77" t="s">
        <v>233</v>
      </c>
      <c r="C11" s="116"/>
      <c r="D11" s="115"/>
      <c r="E11" s="115"/>
      <c r="F11" s="247"/>
    </row>
    <row r="12" spans="1:6" ht="19.5" customHeight="1">
      <c r="A12" s="81"/>
      <c r="B12" s="213" t="s">
        <v>367</v>
      </c>
      <c r="C12" s="392"/>
      <c r="D12" s="393"/>
      <c r="E12" s="393"/>
      <c r="F12" s="263"/>
    </row>
    <row r="13" spans="1:6" ht="37.5" customHeight="1" hidden="1">
      <c r="A13" s="81"/>
      <c r="B13" s="214" t="s">
        <v>425</v>
      </c>
      <c r="C13" s="392"/>
      <c r="D13" s="393"/>
      <c r="E13" s="393"/>
      <c r="F13" s="263"/>
    </row>
    <row r="14" spans="1:6" ht="22.5" customHeight="1" hidden="1">
      <c r="A14" s="81"/>
      <c r="B14" s="213" t="s">
        <v>430</v>
      </c>
      <c r="C14" s="392"/>
      <c r="D14" s="393"/>
      <c r="E14" s="393"/>
      <c r="F14" s="263"/>
    </row>
    <row r="15" spans="1:6" ht="36" customHeight="1" hidden="1">
      <c r="A15" s="81"/>
      <c r="B15" s="213" t="s">
        <v>426</v>
      </c>
      <c r="C15" s="392"/>
      <c r="D15" s="393"/>
      <c r="E15" s="393"/>
      <c r="F15" s="263"/>
    </row>
    <row r="16" spans="1:6" ht="18">
      <c r="A16" s="81"/>
      <c r="B16" s="213" t="s">
        <v>556</v>
      </c>
      <c r="C16" s="392"/>
      <c r="D16" s="393"/>
      <c r="E16" s="393"/>
      <c r="F16" s="263"/>
    </row>
    <row r="17" spans="1:6" ht="33.75" customHeight="1">
      <c r="A17" s="81"/>
      <c r="B17" s="213" t="s">
        <v>427</v>
      </c>
      <c r="C17" s="392"/>
      <c r="D17" s="393"/>
      <c r="E17" s="393"/>
      <c r="F17" s="263"/>
    </row>
    <row r="18" spans="1:6" ht="18">
      <c r="A18" s="81"/>
      <c r="B18" s="213"/>
      <c r="C18" s="392"/>
      <c r="D18" s="393"/>
      <c r="E18" s="393"/>
      <c r="F18" s="263"/>
    </row>
    <row r="19" spans="1:6" ht="36" customHeight="1">
      <c r="A19" s="81"/>
      <c r="B19" s="213" t="s">
        <v>428</v>
      </c>
      <c r="C19" s="392"/>
      <c r="D19" s="393"/>
      <c r="E19" s="393"/>
      <c r="F19" s="263"/>
    </row>
    <row r="20" spans="1:6" ht="18">
      <c r="A20" s="81"/>
      <c r="B20" s="213"/>
      <c r="C20" s="392"/>
      <c r="D20" s="393"/>
      <c r="E20" s="393"/>
      <c r="F20" s="263"/>
    </row>
    <row r="21" spans="1:6" ht="21" customHeight="1">
      <c r="A21" s="211">
        <v>2</v>
      </c>
      <c r="B21" s="215" t="s">
        <v>262</v>
      </c>
      <c r="C21" s="295" t="s">
        <v>144</v>
      </c>
      <c r="D21" s="295" t="s">
        <v>365</v>
      </c>
      <c r="E21" s="295" t="s">
        <v>365</v>
      </c>
      <c r="F21" s="263"/>
    </row>
    <row r="22" spans="1:6" ht="18">
      <c r="A22" s="106">
        <v>3</v>
      </c>
      <c r="B22" s="394" t="s">
        <v>368</v>
      </c>
      <c r="C22" s="295" t="s">
        <v>144</v>
      </c>
      <c r="D22" s="302" t="s">
        <v>365</v>
      </c>
      <c r="E22" s="302" t="s">
        <v>365</v>
      </c>
      <c r="F22" s="263"/>
    </row>
    <row r="23" spans="1:6" ht="18">
      <c r="A23" s="106"/>
      <c r="B23" s="395">
        <v>0.1</v>
      </c>
      <c r="C23" s="295"/>
      <c r="D23" s="393"/>
      <c r="E23" s="393"/>
      <c r="F23" s="263"/>
    </row>
    <row r="24" spans="1:6" ht="18">
      <c r="A24" s="126"/>
      <c r="B24" s="395">
        <v>0.18</v>
      </c>
      <c r="C24" s="295" t="s">
        <v>144</v>
      </c>
      <c r="D24" s="393"/>
      <c r="E24" s="393"/>
      <c r="F24" s="263"/>
    </row>
    <row r="25" spans="1:6" ht="27" customHeight="1">
      <c r="A25" s="106">
        <v>4</v>
      </c>
      <c r="B25" s="396" t="s">
        <v>364</v>
      </c>
      <c r="C25" s="295"/>
      <c r="D25" s="393"/>
      <c r="E25" s="393"/>
      <c r="F25" s="263"/>
    </row>
    <row r="26" spans="1:6" ht="18.75" customHeight="1">
      <c r="A26" s="126"/>
      <c r="B26" s="395" t="s">
        <v>562</v>
      </c>
      <c r="C26" s="295"/>
      <c r="D26" s="393"/>
      <c r="E26" s="393"/>
      <c r="F26" s="263"/>
    </row>
    <row r="27" spans="1:6" ht="17.25">
      <c r="A27" s="75"/>
      <c r="B27" s="77" t="s">
        <v>145</v>
      </c>
      <c r="C27" s="116" t="s">
        <v>144</v>
      </c>
      <c r="D27" s="116" t="s">
        <v>144</v>
      </c>
      <c r="E27" s="116" t="s">
        <v>144</v>
      </c>
      <c r="F27" s="247">
        <f>SUM(F11:F26)</f>
        <v>0</v>
      </c>
    </row>
    <row r="28" ht="14.25">
      <c r="F28" s="262"/>
    </row>
    <row r="30" spans="1:5" ht="18">
      <c r="A30" s="3"/>
      <c r="B30" s="3" t="s">
        <v>589</v>
      </c>
      <c r="C30" s="3"/>
      <c r="D30" s="3"/>
      <c r="E30" s="3" t="s">
        <v>590</v>
      </c>
    </row>
    <row r="31" spans="1:5" ht="18">
      <c r="A31" s="3"/>
      <c r="B31" s="3" t="s">
        <v>606</v>
      </c>
      <c r="C31" s="3"/>
      <c r="D31" s="3"/>
      <c r="E31" s="3" t="s">
        <v>402</v>
      </c>
    </row>
    <row r="32" spans="1:5" ht="18">
      <c r="A32" s="3"/>
      <c r="B32" s="3"/>
      <c r="C32" s="3"/>
      <c r="D32" s="3"/>
      <c r="E32" s="3"/>
    </row>
    <row r="33" spans="1:5" ht="18">
      <c r="A33" s="3"/>
      <c r="B33" s="3" t="s">
        <v>408</v>
      </c>
      <c r="C33" s="3"/>
      <c r="D33" s="3"/>
      <c r="E33" s="3" t="s">
        <v>591</v>
      </c>
    </row>
    <row r="34" spans="1:5" ht="18">
      <c r="A34" s="3"/>
      <c r="B34" s="3" t="s">
        <v>606</v>
      </c>
      <c r="C34" s="3"/>
      <c r="D34" s="3"/>
      <c r="E34" s="3" t="s">
        <v>402</v>
      </c>
    </row>
  </sheetData>
  <sheetProtection/>
  <mergeCells count="5">
    <mergeCell ref="A3:F3"/>
    <mergeCell ref="A4:F4"/>
    <mergeCell ref="A5:F5"/>
    <mergeCell ref="B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view="pageBreakPreview" zoomScale="60" zoomScalePageLayoutView="0" workbookViewId="0" topLeftCell="A7">
      <selection activeCell="E23" sqref="E23"/>
    </sheetView>
  </sheetViews>
  <sheetFormatPr defaultColWidth="9.140625" defaultRowHeight="15"/>
  <cols>
    <col min="1" max="1" width="5.7109375" style="0" customWidth="1"/>
    <col min="2" max="2" width="65.7109375" style="0" customWidth="1"/>
    <col min="3" max="3" width="25.8515625" style="0" customWidth="1"/>
    <col min="4" max="4" width="21.00390625" style="0" customWidth="1"/>
    <col min="5" max="5" width="23.7109375" style="0" customWidth="1"/>
    <col min="6" max="6" width="60.28125" style="0" customWidth="1"/>
  </cols>
  <sheetData>
    <row r="1" spans="1:6" ht="18">
      <c r="A1" s="3"/>
      <c r="B1" s="3"/>
      <c r="C1" s="3"/>
      <c r="D1" s="3"/>
      <c r="E1" s="3"/>
      <c r="F1" s="312" t="s">
        <v>263</v>
      </c>
    </row>
    <row r="2" spans="1:6" ht="18">
      <c r="A2" s="3"/>
      <c r="B2" s="3"/>
      <c r="C2" s="3"/>
      <c r="D2" s="3"/>
      <c r="E2" s="3"/>
      <c r="F2" s="3"/>
    </row>
    <row r="3" spans="1:6" ht="17.25">
      <c r="A3" s="644" t="s">
        <v>231</v>
      </c>
      <c r="B3" s="644"/>
      <c r="C3" s="644"/>
      <c r="D3" s="644"/>
      <c r="E3" s="644"/>
      <c r="F3" s="644"/>
    </row>
    <row r="4" spans="1:6" ht="18">
      <c r="A4" s="660" t="s">
        <v>716</v>
      </c>
      <c r="B4" s="660"/>
      <c r="C4" s="660"/>
      <c r="D4" s="660"/>
      <c r="E4" s="660"/>
      <c r="F4" s="660"/>
    </row>
    <row r="5" spans="1:6" ht="18">
      <c r="A5" s="663" t="s">
        <v>344</v>
      </c>
      <c r="B5" s="663"/>
      <c r="C5" s="663"/>
      <c r="D5" s="663"/>
      <c r="E5" s="663"/>
      <c r="F5" s="663"/>
    </row>
    <row r="6" spans="1:6" ht="18">
      <c r="A6" s="174"/>
      <c r="B6" s="660" t="s">
        <v>714</v>
      </c>
      <c r="C6" s="660"/>
      <c r="D6" s="660"/>
      <c r="E6" s="660"/>
      <c r="F6" s="660"/>
    </row>
    <row r="7" spans="1:6" ht="18">
      <c r="A7" s="663" t="s">
        <v>252</v>
      </c>
      <c r="B7" s="663"/>
      <c r="C7" s="663"/>
      <c r="D7" s="663"/>
      <c r="E7" s="663"/>
      <c r="F7" s="663"/>
    </row>
    <row r="8" spans="1:6" ht="18">
      <c r="A8" s="84"/>
      <c r="B8" s="3"/>
      <c r="C8" s="3"/>
      <c r="D8" s="3"/>
      <c r="E8" s="3"/>
      <c r="F8" s="3"/>
    </row>
    <row r="9" spans="1:6" ht="54">
      <c r="A9" s="313" t="s">
        <v>157</v>
      </c>
      <c r="B9" s="313" t="s">
        <v>156</v>
      </c>
      <c r="C9" s="313" t="s">
        <v>406</v>
      </c>
      <c r="D9" s="313" t="s">
        <v>221</v>
      </c>
      <c r="E9" s="313" t="s">
        <v>366</v>
      </c>
      <c r="F9" s="313" t="s">
        <v>232</v>
      </c>
    </row>
    <row r="10" spans="1:6" ht="18">
      <c r="A10" s="42">
        <v>1</v>
      </c>
      <c r="B10" s="42">
        <v>2</v>
      </c>
      <c r="C10" s="42"/>
      <c r="D10" s="42">
        <v>3</v>
      </c>
      <c r="E10" s="42">
        <v>4</v>
      </c>
      <c r="F10" s="42">
        <v>5</v>
      </c>
    </row>
    <row r="11" spans="1:6" ht="23.25" customHeight="1">
      <c r="A11" s="81">
        <v>1</v>
      </c>
      <c r="B11" s="77" t="s">
        <v>233</v>
      </c>
      <c r="C11" s="116"/>
      <c r="D11" s="115"/>
      <c r="E11" s="115"/>
      <c r="F11" s="247"/>
    </row>
    <row r="12" spans="1:6" ht="19.5" customHeight="1">
      <c r="A12" s="81"/>
      <c r="B12" s="213" t="s">
        <v>367</v>
      </c>
      <c r="C12" s="392"/>
      <c r="D12" s="393"/>
      <c r="E12" s="393"/>
      <c r="F12" s="263"/>
    </row>
    <row r="13" spans="1:6" ht="37.5" customHeight="1" hidden="1">
      <c r="A13" s="81"/>
      <c r="B13" s="214" t="s">
        <v>425</v>
      </c>
      <c r="C13" s="392"/>
      <c r="D13" s="393"/>
      <c r="E13" s="393"/>
      <c r="F13" s="263"/>
    </row>
    <row r="14" spans="1:6" ht="22.5" customHeight="1" hidden="1">
      <c r="A14" s="81"/>
      <c r="B14" s="213" t="s">
        <v>430</v>
      </c>
      <c r="C14" s="392"/>
      <c r="D14" s="393"/>
      <c r="E14" s="393"/>
      <c r="F14" s="263"/>
    </row>
    <row r="15" spans="1:6" ht="36" customHeight="1" hidden="1">
      <c r="A15" s="81"/>
      <c r="B15" s="213" t="s">
        <v>426</v>
      </c>
      <c r="C15" s="392"/>
      <c r="D15" s="393"/>
      <c r="E15" s="393"/>
      <c r="F15" s="263"/>
    </row>
    <row r="16" spans="1:6" ht="18">
      <c r="A16" s="81"/>
      <c r="B16" s="213" t="s">
        <v>724</v>
      </c>
      <c r="C16" s="392">
        <v>1</v>
      </c>
      <c r="D16" s="393">
        <v>104.7</v>
      </c>
      <c r="E16" s="393">
        <v>12</v>
      </c>
      <c r="F16" s="263">
        <f>D16*E16*C16</f>
        <v>1256.4</v>
      </c>
    </row>
    <row r="17" spans="1:6" ht="33.75" customHeight="1">
      <c r="A17" s="81"/>
      <c r="B17" s="213" t="s">
        <v>427</v>
      </c>
      <c r="C17" s="392"/>
      <c r="D17" s="393"/>
      <c r="E17" s="393"/>
      <c r="F17" s="263"/>
    </row>
    <row r="18" spans="1:6" ht="18">
      <c r="A18" s="81"/>
      <c r="B18" s="213"/>
      <c r="C18" s="392"/>
      <c r="D18" s="393"/>
      <c r="E18" s="393"/>
      <c r="F18" s="263"/>
    </row>
    <row r="19" spans="1:6" ht="36" customHeight="1">
      <c r="A19" s="81"/>
      <c r="B19" s="213" t="s">
        <v>428</v>
      </c>
      <c r="C19" s="392"/>
      <c r="D19" s="393"/>
      <c r="E19" s="393"/>
      <c r="F19" s="263"/>
    </row>
    <row r="20" spans="1:6" ht="18">
      <c r="A20" s="81"/>
      <c r="B20" s="213"/>
      <c r="C20" s="392"/>
      <c r="D20" s="393"/>
      <c r="E20" s="393"/>
      <c r="F20" s="263"/>
    </row>
    <row r="21" spans="1:6" ht="21" customHeight="1">
      <c r="A21" s="211">
        <v>2</v>
      </c>
      <c r="B21" s="215" t="s">
        <v>262</v>
      </c>
      <c r="C21" s="295" t="s">
        <v>144</v>
      </c>
      <c r="D21" s="295" t="s">
        <v>365</v>
      </c>
      <c r="E21" s="295" t="s">
        <v>365</v>
      </c>
      <c r="F21" s="263"/>
    </row>
    <row r="22" spans="1:6" ht="18">
      <c r="A22" s="106">
        <v>3</v>
      </c>
      <c r="B22" s="394" t="s">
        <v>368</v>
      </c>
      <c r="C22" s="295" t="s">
        <v>144</v>
      </c>
      <c r="D22" s="302" t="s">
        <v>365</v>
      </c>
      <c r="E22" s="302" t="s">
        <v>365</v>
      </c>
      <c r="F22" s="263"/>
    </row>
    <row r="23" spans="1:6" ht="18">
      <c r="A23" s="106"/>
      <c r="B23" s="395">
        <v>0.1</v>
      </c>
      <c r="C23" s="295"/>
      <c r="D23" s="393"/>
      <c r="E23" s="393"/>
      <c r="F23" s="263"/>
    </row>
    <row r="24" spans="1:6" ht="18">
      <c r="A24" s="126"/>
      <c r="B24" s="395">
        <v>0.18</v>
      </c>
      <c r="C24" s="295" t="s">
        <v>144</v>
      </c>
      <c r="D24" s="393"/>
      <c r="E24" s="393"/>
      <c r="F24" s="263"/>
    </row>
    <row r="25" spans="1:6" ht="27" customHeight="1">
      <c r="A25" s="106">
        <v>4</v>
      </c>
      <c r="B25" s="396" t="s">
        <v>364</v>
      </c>
      <c r="C25" s="295"/>
      <c r="D25" s="393"/>
      <c r="E25" s="393"/>
      <c r="F25" s="263"/>
    </row>
    <row r="26" spans="1:6" ht="18.75" customHeight="1">
      <c r="A26" s="126"/>
      <c r="B26" s="395" t="s">
        <v>439</v>
      </c>
      <c r="C26" s="295"/>
      <c r="D26" s="393"/>
      <c r="E26" s="393"/>
      <c r="F26" s="263"/>
    </row>
    <row r="27" spans="1:6" ht="17.25">
      <c r="A27" s="75"/>
      <c r="B27" s="77" t="s">
        <v>145</v>
      </c>
      <c r="C27" s="116" t="s">
        <v>144</v>
      </c>
      <c r="D27" s="116" t="s">
        <v>144</v>
      </c>
      <c r="E27" s="116" t="s">
        <v>144</v>
      </c>
      <c r="F27" s="247">
        <f>SUM(F11:F26)</f>
        <v>1256.4</v>
      </c>
    </row>
    <row r="28" spans="1:6" ht="14.25">
      <c r="A28" s="6"/>
      <c r="B28" s="6"/>
      <c r="C28" s="6"/>
      <c r="D28" s="6"/>
      <c r="E28" s="6"/>
      <c r="F28" s="262"/>
    </row>
    <row r="29" spans="1:6" ht="14.25">
      <c r="A29" s="6"/>
      <c r="B29" s="6"/>
      <c r="C29" s="6"/>
      <c r="D29" s="6"/>
      <c r="E29" s="6"/>
      <c r="F29" s="6"/>
    </row>
    <row r="30" spans="1:6" ht="18">
      <c r="A30" s="3"/>
      <c r="B30" s="3" t="s">
        <v>589</v>
      </c>
      <c r="C30" s="3"/>
      <c r="D30" s="3"/>
      <c r="E30" s="3" t="s">
        <v>753</v>
      </c>
      <c r="F30" s="6"/>
    </row>
    <row r="31" spans="1:6" ht="18">
      <c r="A31" s="3"/>
      <c r="B31" s="3" t="s">
        <v>606</v>
      </c>
      <c r="C31" s="3"/>
      <c r="D31" s="3"/>
      <c r="E31" s="3" t="s">
        <v>402</v>
      </c>
      <c r="F31" s="6"/>
    </row>
    <row r="32" spans="1:6" ht="18">
      <c r="A32" s="3"/>
      <c r="B32" s="3"/>
      <c r="C32" s="3"/>
      <c r="D32" s="3"/>
      <c r="E32" s="3"/>
      <c r="F32" s="6"/>
    </row>
    <row r="33" spans="1:6" ht="18">
      <c r="A33" s="3"/>
      <c r="B33" s="3" t="s">
        <v>408</v>
      </c>
      <c r="C33" s="3"/>
      <c r="D33" s="3"/>
      <c r="E33" s="3" t="s">
        <v>591</v>
      </c>
      <c r="F33" s="6"/>
    </row>
    <row r="34" spans="1:6" ht="18">
      <c r="A34" s="3"/>
      <c r="B34" s="3" t="s">
        <v>606</v>
      </c>
      <c r="C34" s="3"/>
      <c r="D34" s="3"/>
      <c r="E34" s="3" t="s">
        <v>402</v>
      </c>
      <c r="F34" s="6"/>
    </row>
    <row r="35" spans="2:5" ht="14.25">
      <c r="B35" s="6"/>
      <c r="C35" s="6"/>
      <c r="D35" s="6"/>
      <c r="E35" s="6"/>
    </row>
  </sheetData>
  <sheetProtection/>
  <mergeCells count="5">
    <mergeCell ref="A3:F3"/>
    <mergeCell ref="A4:F4"/>
    <mergeCell ref="A5:F5"/>
    <mergeCell ref="B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view="pageBreakPreview" zoomScale="60" zoomScaleNormal="70" zoomScalePageLayoutView="0" workbookViewId="0" topLeftCell="A7">
      <selection activeCell="E26" sqref="E26"/>
    </sheetView>
  </sheetViews>
  <sheetFormatPr defaultColWidth="9.140625" defaultRowHeight="15"/>
  <cols>
    <col min="1" max="1" width="7.7109375" style="6" customWidth="1"/>
    <col min="2" max="2" width="69.421875" style="6" customWidth="1"/>
    <col min="3" max="3" width="15.28125" style="6" customWidth="1"/>
    <col min="4" max="4" width="18.00390625" style="6" customWidth="1"/>
    <col min="5" max="5" width="20.57421875" style="6" customWidth="1"/>
    <col min="6" max="6" width="39.7109375" style="6" customWidth="1"/>
    <col min="7" max="16384" width="9.140625" style="6" customWidth="1"/>
  </cols>
  <sheetData>
    <row r="1" spans="1:7" ht="18">
      <c r="A1" s="40"/>
      <c r="B1" s="40"/>
      <c r="C1" s="40"/>
      <c r="D1" s="40"/>
      <c r="E1" s="40"/>
      <c r="F1" s="11" t="s">
        <v>250</v>
      </c>
      <c r="G1" s="40"/>
    </row>
    <row r="2" spans="1:7" ht="18">
      <c r="A2" s="40"/>
      <c r="B2" s="40"/>
      <c r="C2" s="40"/>
      <c r="D2" s="40"/>
      <c r="E2" s="40"/>
      <c r="F2" s="231"/>
      <c r="G2" s="40"/>
    </row>
    <row r="3" spans="1:7" ht="18">
      <c r="A3" s="644" t="s">
        <v>189</v>
      </c>
      <c r="B3" s="664"/>
      <c r="C3" s="664"/>
      <c r="D3" s="664"/>
      <c r="E3" s="664"/>
      <c r="F3" s="664"/>
      <c r="G3" s="40"/>
    </row>
    <row r="4" spans="1:7" ht="18">
      <c r="A4" s="234"/>
      <c r="B4" s="632" t="s">
        <v>717</v>
      </c>
      <c r="C4" s="632"/>
      <c r="D4" s="632"/>
      <c r="E4" s="632"/>
      <c r="F4" s="632"/>
      <c r="G4" s="40"/>
    </row>
    <row r="5" spans="1:7" ht="18">
      <c r="A5" s="234"/>
      <c r="B5" s="665" t="s">
        <v>344</v>
      </c>
      <c r="C5" s="665"/>
      <c r="D5" s="665"/>
      <c r="E5" s="665"/>
      <c r="F5" s="665"/>
      <c r="G5" s="40"/>
    </row>
    <row r="6" spans="1:6" s="70" customFormat="1" ht="27.75" customHeight="1">
      <c r="A6" s="84"/>
      <c r="B6" s="632" t="s">
        <v>718</v>
      </c>
      <c r="C6" s="632"/>
      <c r="D6" s="632"/>
      <c r="E6" s="632"/>
      <c r="F6" s="632"/>
    </row>
    <row r="7" spans="1:6" s="70" customFormat="1" ht="24.75" customHeight="1">
      <c r="A7" s="84"/>
      <c r="B7" s="665" t="s">
        <v>252</v>
      </c>
      <c r="C7" s="665"/>
      <c r="D7" s="665"/>
      <c r="E7" s="665"/>
      <c r="F7" s="665"/>
    </row>
    <row r="8" spans="1:7" ht="18">
      <c r="A8" s="84"/>
      <c r="B8" s="40"/>
      <c r="C8" s="40"/>
      <c r="D8" s="40"/>
      <c r="E8" s="40"/>
      <c r="F8" s="40"/>
      <c r="G8" s="40"/>
    </row>
    <row r="9" spans="1:7" s="1" customFormat="1" ht="36">
      <c r="A9" s="235" t="s">
        <v>157</v>
      </c>
      <c r="B9" s="235" t="s">
        <v>156</v>
      </c>
      <c r="C9" s="235" t="s">
        <v>188</v>
      </c>
      <c r="D9" s="158" t="s">
        <v>187</v>
      </c>
      <c r="E9" s="235" t="s">
        <v>186</v>
      </c>
      <c r="F9" s="235" t="s">
        <v>36</v>
      </c>
      <c r="G9" s="3"/>
    </row>
    <row r="10" spans="1:6" s="1" customFormat="1" ht="15">
      <c r="A10" s="98">
        <v>1</v>
      </c>
      <c r="B10" s="98">
        <v>2</v>
      </c>
      <c r="C10" s="388">
        <v>3</v>
      </c>
      <c r="D10" s="388">
        <v>4</v>
      </c>
      <c r="E10" s="388">
        <v>5</v>
      </c>
      <c r="F10" s="388" t="s">
        <v>249</v>
      </c>
    </row>
    <row r="11" spans="1:7" s="1" customFormat="1" ht="39" customHeight="1">
      <c r="A11" s="81"/>
      <c r="B11" s="96" t="s">
        <v>369</v>
      </c>
      <c r="C11" s="399">
        <v>3</v>
      </c>
      <c r="D11" s="399">
        <v>12</v>
      </c>
      <c r="E11" s="212">
        <v>247</v>
      </c>
      <c r="F11" s="400">
        <f>(C11*D11*E11)-5245.14</f>
        <v>3646.8599999999997</v>
      </c>
      <c r="G11" s="3"/>
    </row>
    <row r="12" spans="1:7" s="1" customFormat="1" ht="42.75" customHeight="1">
      <c r="A12" s="81"/>
      <c r="B12" s="96" t="s">
        <v>370</v>
      </c>
      <c r="C12" s="399">
        <v>3</v>
      </c>
      <c r="D12" s="399">
        <v>12</v>
      </c>
      <c r="E12" s="212">
        <v>860</v>
      </c>
      <c r="F12" s="400">
        <f>C12*D12*E12</f>
        <v>30960</v>
      </c>
      <c r="G12" s="3">
        <v>3110.47</v>
      </c>
    </row>
    <row r="13" spans="1:7" s="1" customFormat="1" ht="33.75" customHeight="1">
      <c r="A13" s="78"/>
      <c r="B13" s="96" t="s">
        <v>185</v>
      </c>
      <c r="C13" s="399"/>
      <c r="D13" s="399"/>
      <c r="E13" s="212"/>
      <c r="F13" s="400">
        <f aca="true" t="shared" si="0" ref="F13:F20">C13*D13*E13</f>
        <v>0</v>
      </c>
      <c r="G13" s="3"/>
    </row>
    <row r="14" spans="1:7" s="1" customFormat="1" ht="36">
      <c r="A14" s="78"/>
      <c r="B14" s="96" t="s">
        <v>184</v>
      </c>
      <c r="C14" s="399"/>
      <c r="D14" s="399"/>
      <c r="E14" s="212"/>
      <c r="F14" s="400">
        <f t="shared" si="0"/>
        <v>0</v>
      </c>
      <c r="G14" s="3"/>
    </row>
    <row r="15" spans="1:7" s="1" customFormat="1" ht="41.25" customHeight="1">
      <c r="A15" s="78"/>
      <c r="B15" s="96" t="s">
        <v>183</v>
      </c>
      <c r="C15" s="399"/>
      <c r="D15" s="399"/>
      <c r="E15" s="212"/>
      <c r="F15" s="400">
        <f t="shared" si="0"/>
        <v>0</v>
      </c>
      <c r="G15" s="3"/>
    </row>
    <row r="16" spans="1:7" s="1" customFormat="1" ht="38.25" customHeight="1">
      <c r="A16" s="78"/>
      <c r="B16" s="96" t="s">
        <v>182</v>
      </c>
      <c r="C16" s="399"/>
      <c r="D16" s="399"/>
      <c r="E16" s="212"/>
      <c r="F16" s="400"/>
      <c r="G16" s="3"/>
    </row>
    <row r="17" spans="1:7" s="1" customFormat="1" ht="39.75" customHeight="1">
      <c r="A17" s="78"/>
      <c r="B17" s="96" t="s">
        <v>372</v>
      </c>
      <c r="C17" s="43">
        <v>1</v>
      </c>
      <c r="D17" s="43">
        <v>12</v>
      </c>
      <c r="E17" s="172">
        <v>16868.58</v>
      </c>
      <c r="F17" s="400">
        <f>C17*D17*E17</f>
        <v>202422.96000000002</v>
      </c>
      <c r="G17" s="3"/>
    </row>
    <row r="18" spans="1:7" s="1" customFormat="1" ht="29.25" customHeight="1">
      <c r="A18" s="78"/>
      <c r="B18" s="96" t="s">
        <v>660</v>
      </c>
      <c r="C18" s="399">
        <v>1</v>
      </c>
      <c r="D18" s="399">
        <v>400</v>
      </c>
      <c r="E18" s="212">
        <v>25</v>
      </c>
      <c r="F18" s="400">
        <f>C18*D18*E18</f>
        <v>10000</v>
      </c>
      <c r="G18" s="3"/>
    </row>
    <row r="19" spans="1:7" s="1" customFormat="1" ht="22.5" customHeight="1">
      <c r="A19" s="78"/>
      <c r="B19" s="43" t="s">
        <v>371</v>
      </c>
      <c r="C19" s="43"/>
      <c r="D19" s="43"/>
      <c r="E19" s="172"/>
      <c r="F19" s="246">
        <f t="shared" si="0"/>
        <v>0</v>
      </c>
      <c r="G19" s="3">
        <v>48214.8</v>
      </c>
    </row>
    <row r="20" spans="1:7" s="1" customFormat="1" ht="18" hidden="1">
      <c r="A20" s="78"/>
      <c r="B20" s="43"/>
      <c r="C20" s="43"/>
      <c r="D20" s="43"/>
      <c r="E20" s="172"/>
      <c r="F20" s="246">
        <f t="shared" si="0"/>
        <v>0</v>
      </c>
      <c r="G20" s="3"/>
    </row>
    <row r="21" spans="1:7" s="1" customFormat="1" ht="18" hidden="1">
      <c r="A21" s="78"/>
      <c r="B21" s="43"/>
      <c r="C21" s="43"/>
      <c r="D21" s="43"/>
      <c r="E21" s="172"/>
      <c r="F21" s="246"/>
      <c r="G21" s="3"/>
    </row>
    <row r="22" spans="1:7" s="1" customFormat="1" ht="18" hidden="1">
      <c r="A22" s="78"/>
      <c r="B22" s="43"/>
      <c r="C22" s="43"/>
      <c r="D22" s="43"/>
      <c r="E22" s="172"/>
      <c r="F22" s="246">
        <f>C22*D22*E22</f>
        <v>0</v>
      </c>
      <c r="G22" s="3"/>
    </row>
    <row r="23" spans="1:7" s="1" customFormat="1" ht="28.5" customHeight="1">
      <c r="A23" s="78"/>
      <c r="B23" s="77" t="s">
        <v>145</v>
      </c>
      <c r="C23" s="100" t="s">
        <v>144</v>
      </c>
      <c r="D23" s="100" t="s">
        <v>144</v>
      </c>
      <c r="E23" s="100" t="s">
        <v>144</v>
      </c>
      <c r="F23" s="247">
        <f>SUM(F11:F22)</f>
        <v>247029.82</v>
      </c>
      <c r="G23" s="3"/>
    </row>
    <row r="24" spans="1:7" s="1" customFormat="1" ht="18">
      <c r="A24" s="3"/>
      <c r="B24" s="3"/>
      <c r="C24" s="3"/>
      <c r="D24" s="3"/>
      <c r="E24" s="3"/>
      <c r="F24" s="3"/>
      <c r="G24" s="3"/>
    </row>
    <row r="25" spans="2:5" s="1" customFormat="1" ht="18">
      <c r="B25" s="3" t="s">
        <v>589</v>
      </c>
      <c r="C25" s="3"/>
      <c r="D25" s="311"/>
      <c r="E25" s="1" t="s">
        <v>753</v>
      </c>
    </row>
    <row r="26" spans="2:6" s="36" customFormat="1" ht="18">
      <c r="B26" s="1" t="s">
        <v>606</v>
      </c>
      <c r="C26" s="3"/>
      <c r="D26" s="3"/>
      <c r="E26" s="36" t="s">
        <v>402</v>
      </c>
      <c r="F26" s="66"/>
    </row>
    <row r="27" spans="2:4" s="1" customFormat="1" ht="18">
      <c r="B27" s="3"/>
      <c r="C27" s="3"/>
      <c r="D27" s="3"/>
    </row>
    <row r="28" spans="2:5" s="1" customFormat="1" ht="18">
      <c r="B28" s="3" t="s">
        <v>408</v>
      </c>
      <c r="C28" s="3"/>
      <c r="D28" s="311"/>
      <c r="E28" s="1" t="s">
        <v>591</v>
      </c>
    </row>
    <row r="29" spans="2:5" s="1" customFormat="1" ht="18">
      <c r="B29" s="1" t="s">
        <v>606</v>
      </c>
      <c r="C29" s="3"/>
      <c r="D29" s="3"/>
      <c r="E29" s="1" t="s">
        <v>402</v>
      </c>
    </row>
    <row r="30" spans="2:4" s="1" customFormat="1" ht="18">
      <c r="B30" s="3"/>
      <c r="C30" s="3"/>
      <c r="D30" s="3"/>
    </row>
  </sheetData>
  <sheetProtection/>
  <mergeCells count="5">
    <mergeCell ref="A3:F3"/>
    <mergeCell ref="B4:F4"/>
    <mergeCell ref="B5:F5"/>
    <mergeCell ref="B6:F6"/>
    <mergeCell ref="B7:F7"/>
  </mergeCells>
  <printOptions/>
  <pageMargins left="0.7086614173228347" right="0.31496062992125984" top="0.35433070866141736" bottom="0.39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59"/>
  <sheetViews>
    <sheetView view="pageBreakPreview" zoomScale="60" zoomScalePageLayoutView="0" workbookViewId="0" topLeftCell="A9">
      <selection activeCell="A28" sqref="A28"/>
    </sheetView>
  </sheetViews>
  <sheetFormatPr defaultColWidth="9.140625" defaultRowHeight="15"/>
  <cols>
    <col min="1" max="1" width="142.421875" style="0" customWidth="1"/>
    <col min="2" max="2" width="48.140625" style="0" customWidth="1"/>
    <col min="3" max="3" width="19.7109375" style="0" customWidth="1"/>
  </cols>
  <sheetData>
    <row r="1" ht="18" hidden="1">
      <c r="B1" s="11" t="s">
        <v>33</v>
      </c>
    </row>
    <row r="2" ht="18" hidden="1">
      <c r="B2" s="9" t="s">
        <v>31</v>
      </c>
    </row>
    <row r="3" ht="18" hidden="1">
      <c r="B3" s="9" t="s">
        <v>32</v>
      </c>
    </row>
    <row r="4" spans="1:2" ht="18" hidden="1">
      <c r="A4" s="12"/>
      <c r="B4" s="9" t="s">
        <v>14</v>
      </c>
    </row>
    <row r="5" spans="1:2" ht="18" hidden="1">
      <c r="A5" s="12"/>
      <c r="B5" s="9" t="s">
        <v>15</v>
      </c>
    </row>
    <row r="6" spans="1:2" ht="18" hidden="1">
      <c r="A6" s="13"/>
      <c r="B6" s="9" t="s">
        <v>16</v>
      </c>
    </row>
    <row r="7" spans="1:2" ht="18" hidden="1">
      <c r="A7" s="13"/>
      <c r="B7" s="4" t="s">
        <v>17</v>
      </c>
    </row>
    <row r="8" ht="18" hidden="1">
      <c r="A8" s="13"/>
    </row>
    <row r="9" spans="1:2" ht="18">
      <c r="A9" s="14"/>
      <c r="B9" s="11" t="s">
        <v>34</v>
      </c>
    </row>
    <row r="10" ht="18">
      <c r="A10" s="14"/>
    </row>
    <row r="11" spans="1:2" ht="17.25">
      <c r="A11" s="555" t="s">
        <v>55</v>
      </c>
      <c r="B11" s="555"/>
    </row>
    <row r="12" spans="1:2" s="6" customFormat="1" ht="30" customHeight="1">
      <c r="A12" s="557" t="s">
        <v>592</v>
      </c>
      <c r="B12" s="558"/>
    </row>
    <row r="13" spans="1:2" s="6" customFormat="1" ht="18">
      <c r="A13" s="13" t="s">
        <v>345</v>
      </c>
      <c r="B13" s="228"/>
    </row>
    <row r="14" spans="1:2" ht="27.75" customHeight="1">
      <c r="A14" s="555" t="s">
        <v>593</v>
      </c>
      <c r="B14" s="555"/>
    </row>
    <row r="15" spans="1:2" ht="18" customHeight="1">
      <c r="A15" s="556" t="s">
        <v>35</v>
      </c>
      <c r="B15" s="556"/>
    </row>
    <row r="16" ht="16.5">
      <c r="A16" s="16"/>
    </row>
    <row r="17" spans="1:2" ht="36.75" customHeight="1">
      <c r="A17" s="10" t="s">
        <v>20</v>
      </c>
      <c r="B17" s="18" t="s">
        <v>36</v>
      </c>
    </row>
    <row r="18" spans="1:2" ht="18">
      <c r="A18" s="2" t="s">
        <v>37</v>
      </c>
      <c r="B18" s="387">
        <v>19903115.92</v>
      </c>
    </row>
    <row r="19" spans="1:2" ht="18">
      <c r="A19" s="2" t="s">
        <v>38</v>
      </c>
      <c r="B19" s="387"/>
    </row>
    <row r="20" spans="1:2" ht="18">
      <c r="A20" s="2" t="s">
        <v>39</v>
      </c>
      <c r="B20" s="387">
        <v>3778920.98</v>
      </c>
    </row>
    <row r="21" spans="1:2" ht="18">
      <c r="A21" s="17" t="s">
        <v>40</v>
      </c>
      <c r="B21" s="387"/>
    </row>
    <row r="22" spans="1:2" ht="18">
      <c r="A22" s="2" t="s">
        <v>41</v>
      </c>
      <c r="B22" s="387">
        <v>1960506.4</v>
      </c>
    </row>
    <row r="23" spans="1:2" ht="21.75" customHeight="1">
      <c r="A23" s="2" t="s">
        <v>42</v>
      </c>
      <c r="B23" s="387"/>
    </row>
    <row r="24" spans="1:2" ht="21.75" customHeight="1">
      <c r="A24" s="17" t="s">
        <v>40</v>
      </c>
      <c r="B24" s="387"/>
    </row>
    <row r="25" spans="1:2" ht="21.75" customHeight="1">
      <c r="A25" s="2" t="s">
        <v>43</v>
      </c>
      <c r="B25" s="387">
        <v>3624080</v>
      </c>
    </row>
    <row r="26" spans="1:2" ht="21.75" customHeight="1">
      <c r="A26" s="17" t="s">
        <v>40</v>
      </c>
      <c r="B26" s="387"/>
    </row>
    <row r="27" spans="1:2" ht="21.75" customHeight="1">
      <c r="A27" s="2" t="s">
        <v>44</v>
      </c>
      <c r="B27" s="387">
        <v>203626.79</v>
      </c>
    </row>
    <row r="28" spans="1:2" ht="21.75" customHeight="1">
      <c r="A28" s="2" t="s">
        <v>45</v>
      </c>
      <c r="B28" s="387">
        <v>2108921.54</v>
      </c>
    </row>
    <row r="29" spans="1:2" ht="21.75" customHeight="1">
      <c r="A29" s="2" t="s">
        <v>38</v>
      </c>
      <c r="B29" s="387"/>
    </row>
    <row r="30" spans="1:2" ht="21.75" customHeight="1">
      <c r="A30" s="2" t="s">
        <v>46</v>
      </c>
      <c r="B30" s="387">
        <v>0</v>
      </c>
    </row>
    <row r="31" spans="1:2" ht="21.75" customHeight="1">
      <c r="A31" s="17" t="s">
        <v>40</v>
      </c>
      <c r="B31" s="387"/>
    </row>
    <row r="32" spans="1:2" ht="21.75" customHeight="1">
      <c r="A32" s="2" t="s">
        <v>47</v>
      </c>
      <c r="B32" s="387">
        <v>0</v>
      </c>
    </row>
    <row r="33" spans="1:2" ht="21.75" customHeight="1">
      <c r="A33" s="2" t="s">
        <v>48</v>
      </c>
      <c r="B33" s="387"/>
    </row>
    <row r="34" spans="1:2" ht="18">
      <c r="A34" s="2" t="s">
        <v>49</v>
      </c>
      <c r="B34" s="387"/>
    </row>
    <row r="35" spans="1:2" ht="18">
      <c r="A35" s="2" t="s">
        <v>50</v>
      </c>
      <c r="B35" s="387">
        <v>500000</v>
      </c>
    </row>
    <row r="36" spans="1:2" ht="18">
      <c r="A36" s="2" t="s">
        <v>51</v>
      </c>
      <c r="B36" s="387">
        <v>200000</v>
      </c>
    </row>
    <row r="37" spans="1:2" ht="18">
      <c r="A37" s="2" t="s">
        <v>52</v>
      </c>
      <c r="B37" s="387">
        <v>0</v>
      </c>
    </row>
    <row r="38" spans="1:2" ht="18">
      <c r="A38" s="2" t="s">
        <v>38</v>
      </c>
      <c r="B38" s="387"/>
    </row>
    <row r="39" spans="1:2" ht="18">
      <c r="A39" s="2" t="s">
        <v>53</v>
      </c>
      <c r="B39" s="387"/>
    </row>
    <row r="40" spans="1:2" ht="18">
      <c r="A40" s="2" t="s">
        <v>54</v>
      </c>
      <c r="B40" s="387"/>
    </row>
    <row r="41" spans="1:2" ht="18">
      <c r="A41" s="2" t="s">
        <v>21</v>
      </c>
      <c r="B41" s="387"/>
    </row>
    <row r="42" spans="1:2" s="6" customFormat="1" ht="18">
      <c r="A42" s="2" t="s">
        <v>527</v>
      </c>
      <c r="B42" s="387"/>
    </row>
    <row r="43" spans="1:2" s="6" customFormat="1" ht="18">
      <c r="A43" s="2" t="s">
        <v>530</v>
      </c>
      <c r="B43" s="387"/>
    </row>
    <row r="44" spans="1:2" s="6" customFormat="1" ht="18">
      <c r="A44" s="2" t="s">
        <v>529</v>
      </c>
      <c r="B44" s="387"/>
    </row>
    <row r="45" spans="1:2" ht="18">
      <c r="A45" s="2" t="s">
        <v>528</v>
      </c>
      <c r="B45" s="387"/>
    </row>
    <row r="46" ht="18">
      <c r="A46" s="14"/>
    </row>
    <row r="47" ht="18">
      <c r="A47" s="14" t="s">
        <v>595</v>
      </c>
    </row>
    <row r="48" ht="18">
      <c r="A48" s="14" t="s">
        <v>594</v>
      </c>
    </row>
    <row r="49" ht="18">
      <c r="A49" s="14"/>
    </row>
    <row r="50" ht="18">
      <c r="A50" s="14"/>
    </row>
    <row r="51" ht="18">
      <c r="A51" s="14"/>
    </row>
    <row r="52" ht="18">
      <c r="A52" s="14"/>
    </row>
    <row r="53" ht="18">
      <c r="A53" s="14"/>
    </row>
    <row r="54" ht="18">
      <c r="A54" s="14"/>
    </row>
    <row r="55" ht="18">
      <c r="A55" s="14"/>
    </row>
    <row r="56" ht="18">
      <c r="A56" s="14"/>
    </row>
    <row r="57" ht="18">
      <c r="A57" s="14"/>
    </row>
    <row r="58" ht="18">
      <c r="A58" s="14"/>
    </row>
    <row r="59" ht="18">
      <c r="A59" s="14"/>
    </row>
  </sheetData>
  <sheetProtection/>
  <mergeCells count="4">
    <mergeCell ref="A11:B11"/>
    <mergeCell ref="A14:B14"/>
    <mergeCell ref="A15:B15"/>
    <mergeCell ref="A12:B12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view="pageBreakPreview" zoomScale="60" zoomScalePageLayoutView="0" workbookViewId="0" topLeftCell="A4">
      <selection activeCell="D25" sqref="D25"/>
    </sheetView>
  </sheetViews>
  <sheetFormatPr defaultColWidth="9.140625" defaultRowHeight="15"/>
  <cols>
    <col min="1" max="1" width="6.421875" style="3" customWidth="1"/>
    <col min="2" max="2" width="66.421875" style="3" customWidth="1"/>
    <col min="3" max="3" width="26.8515625" style="3" customWidth="1"/>
    <col min="4" max="4" width="21.7109375" style="3" customWidth="1"/>
    <col min="5" max="5" width="40.28125" style="3" customWidth="1"/>
    <col min="6" max="6" width="30.57421875" style="3" customWidth="1"/>
    <col min="7" max="16384" width="8.8515625" style="3" customWidth="1"/>
  </cols>
  <sheetData>
    <row r="1" ht="18">
      <c r="E1" s="11" t="s">
        <v>110</v>
      </c>
    </row>
    <row r="3" spans="1:5" ht="18">
      <c r="A3" s="644" t="s">
        <v>169</v>
      </c>
      <c r="B3" s="644"/>
      <c r="C3" s="644"/>
      <c r="D3" s="644"/>
      <c r="E3" s="644"/>
    </row>
    <row r="4" spans="1:5" ht="35.25" customHeight="1">
      <c r="A4" s="234"/>
      <c r="B4" s="645" t="s">
        <v>716</v>
      </c>
      <c r="C4" s="645"/>
      <c r="D4" s="645"/>
      <c r="E4" s="645"/>
    </row>
    <row r="5" spans="1:5" ht="18">
      <c r="A5" s="234"/>
      <c r="B5" s="633" t="s">
        <v>344</v>
      </c>
      <c r="C5" s="633"/>
      <c r="D5" s="633"/>
      <c r="E5" s="633"/>
    </row>
    <row r="6" spans="1:6" s="70" customFormat="1" ht="39" customHeight="1">
      <c r="A6" s="84"/>
      <c r="B6" s="632" t="s">
        <v>719</v>
      </c>
      <c r="C6" s="632"/>
      <c r="D6" s="632"/>
      <c r="E6" s="632"/>
      <c r="F6" s="632"/>
    </row>
    <row r="7" spans="1:5" s="70" customFormat="1" ht="24.75" customHeight="1">
      <c r="A7" s="84"/>
      <c r="B7" s="646" t="s">
        <v>252</v>
      </c>
      <c r="C7" s="646"/>
      <c r="D7" s="646"/>
      <c r="E7" s="646"/>
    </row>
    <row r="8" ht="18">
      <c r="A8" s="82"/>
    </row>
    <row r="9" spans="1:5" s="61" customFormat="1" ht="56.25" customHeight="1">
      <c r="A9" s="233" t="s">
        <v>157</v>
      </c>
      <c r="B9" s="233" t="s">
        <v>20</v>
      </c>
      <c r="C9" s="164" t="s">
        <v>168</v>
      </c>
      <c r="D9" s="164" t="s">
        <v>246</v>
      </c>
      <c r="E9" s="164" t="s">
        <v>247</v>
      </c>
    </row>
    <row r="10" spans="1:5" ht="16.5" customHeight="1">
      <c r="A10" s="165">
        <v>1</v>
      </c>
      <c r="B10" s="165">
        <v>2</v>
      </c>
      <c r="C10" s="165">
        <v>3</v>
      </c>
      <c r="D10" s="165">
        <v>4</v>
      </c>
      <c r="E10" s="165">
        <v>5</v>
      </c>
    </row>
    <row r="11" spans="1:6" ht="24" customHeight="1">
      <c r="A11" s="2">
        <v>1</v>
      </c>
      <c r="B11" s="23" t="s">
        <v>167</v>
      </c>
      <c r="C11" s="442">
        <v>35380</v>
      </c>
      <c r="D11" s="169">
        <v>7.77</v>
      </c>
      <c r="E11" s="169">
        <f>(C11*D11)</f>
        <v>274902.6</v>
      </c>
      <c r="F11" s="252"/>
    </row>
    <row r="12" spans="1:6" ht="23.25" customHeight="1">
      <c r="A12" s="2">
        <v>2</v>
      </c>
      <c r="B12" s="23" t="s">
        <v>166</v>
      </c>
      <c r="C12" s="442">
        <v>64.392</v>
      </c>
      <c r="D12" s="169">
        <v>2845.71</v>
      </c>
      <c r="E12" s="169">
        <f>(C12*D12)</f>
        <v>183240.95832</v>
      </c>
      <c r="F12" s="252"/>
    </row>
    <row r="13" spans="1:6" ht="26.25" customHeight="1">
      <c r="A13" s="2">
        <v>3</v>
      </c>
      <c r="B13" s="23" t="s">
        <v>165</v>
      </c>
      <c r="C13" s="442"/>
      <c r="D13" s="169"/>
      <c r="E13" s="169">
        <f aca="true" t="shared" si="0" ref="E13:E18">(C13*D13)</f>
        <v>0</v>
      </c>
      <c r="F13" s="252"/>
    </row>
    <row r="14" spans="1:6" ht="26.25" customHeight="1">
      <c r="A14" s="2">
        <v>4</v>
      </c>
      <c r="B14" s="23" t="s">
        <v>164</v>
      </c>
      <c r="C14" s="442">
        <v>403.33</v>
      </c>
      <c r="D14" s="169">
        <v>121.33</v>
      </c>
      <c r="E14" s="169">
        <f t="shared" si="0"/>
        <v>48936.0289</v>
      </c>
      <c r="F14" s="252"/>
    </row>
    <row r="15" spans="1:6" ht="26.25" customHeight="1">
      <c r="A15" s="2">
        <v>5</v>
      </c>
      <c r="B15" s="23" t="s">
        <v>163</v>
      </c>
      <c r="C15" s="2"/>
      <c r="D15" s="169"/>
      <c r="E15" s="169">
        <f t="shared" si="0"/>
        <v>0</v>
      </c>
      <c r="F15" s="252"/>
    </row>
    <row r="16" spans="1:6" ht="26.25" customHeight="1">
      <c r="A16" s="2">
        <v>6</v>
      </c>
      <c r="B16" s="23" t="s">
        <v>162</v>
      </c>
      <c r="C16" s="316">
        <v>404.33</v>
      </c>
      <c r="D16" s="169">
        <v>56.28</v>
      </c>
      <c r="E16" s="169">
        <f t="shared" si="0"/>
        <v>22755.6924</v>
      </c>
      <c r="F16" s="252"/>
    </row>
    <row r="17" spans="1:6" ht="26.25" customHeight="1">
      <c r="A17" s="2">
        <v>7</v>
      </c>
      <c r="B17" s="23" t="s">
        <v>161</v>
      </c>
      <c r="C17" s="2"/>
      <c r="D17" s="169"/>
      <c r="E17" s="169">
        <f t="shared" si="0"/>
        <v>0</v>
      </c>
      <c r="F17" s="252"/>
    </row>
    <row r="18" spans="1:6" ht="26.25" customHeight="1">
      <c r="A18" s="2">
        <v>8</v>
      </c>
      <c r="B18" s="23" t="s">
        <v>160</v>
      </c>
      <c r="C18" s="2"/>
      <c r="D18" s="169"/>
      <c r="E18" s="169">
        <f t="shared" si="0"/>
        <v>0</v>
      </c>
      <c r="F18" s="252"/>
    </row>
    <row r="19" spans="1:6" ht="26.25" customHeight="1" hidden="1">
      <c r="A19" s="2"/>
      <c r="B19" s="23"/>
      <c r="C19" s="2"/>
      <c r="D19" s="169"/>
      <c r="E19" s="169"/>
      <c r="F19" s="252"/>
    </row>
    <row r="20" spans="1:6" ht="18" hidden="1">
      <c r="A20" s="2"/>
      <c r="B20" s="2"/>
      <c r="C20" s="2"/>
      <c r="D20" s="169"/>
      <c r="E20" s="169"/>
      <c r="F20" s="252"/>
    </row>
    <row r="21" spans="1:6" s="61" customFormat="1" ht="21.75" customHeight="1">
      <c r="A21" s="166"/>
      <c r="B21" s="167" t="s">
        <v>145</v>
      </c>
      <c r="C21" s="233" t="s">
        <v>144</v>
      </c>
      <c r="D21" s="233" t="s">
        <v>144</v>
      </c>
      <c r="E21" s="448">
        <f>SUM(E11:E20)</f>
        <v>529835.2796199999</v>
      </c>
      <c r="F21" s="252"/>
    </row>
    <row r="24" spans="2:6" ht="18">
      <c r="B24" s="3" t="s">
        <v>589</v>
      </c>
      <c r="E24" s="3" t="s">
        <v>753</v>
      </c>
      <c r="F24" s="252"/>
    </row>
    <row r="25" spans="2:5" ht="18">
      <c r="B25" s="1" t="s">
        <v>606</v>
      </c>
      <c r="E25" s="3" t="s">
        <v>402</v>
      </c>
    </row>
    <row r="27" spans="2:5" ht="18">
      <c r="B27" s="3" t="s">
        <v>408</v>
      </c>
      <c r="E27" s="3" t="s">
        <v>591</v>
      </c>
    </row>
    <row r="28" spans="2:5" ht="18">
      <c r="B28" s="1" t="s">
        <v>606</v>
      </c>
      <c r="E28" s="3" t="s">
        <v>402</v>
      </c>
    </row>
    <row r="29" ht="18">
      <c r="B29" s="1"/>
    </row>
    <row r="30" ht="18">
      <c r="F30" s="252"/>
    </row>
    <row r="31" ht="18">
      <c r="B31" s="1"/>
    </row>
    <row r="34" ht="18">
      <c r="B34" s="1"/>
    </row>
  </sheetData>
  <sheetProtection/>
  <mergeCells count="5">
    <mergeCell ref="A3:E3"/>
    <mergeCell ref="B4:E4"/>
    <mergeCell ref="B5:E5"/>
    <mergeCell ref="B7:E7"/>
    <mergeCell ref="B6:F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8"/>
  <sheetViews>
    <sheetView view="pageBreakPreview" zoomScale="70" zoomScaleSheetLayoutView="70" zoomScalePageLayoutView="0" workbookViewId="0" topLeftCell="A1">
      <selection activeCell="E37" sqref="E37"/>
    </sheetView>
  </sheetViews>
  <sheetFormatPr defaultColWidth="9.140625" defaultRowHeight="15"/>
  <cols>
    <col min="1" max="1" width="8.00390625" style="6" customWidth="1"/>
    <col min="2" max="2" width="73.00390625" style="6" customWidth="1"/>
    <col min="3" max="3" width="17.140625" style="6" customWidth="1"/>
    <col min="4" max="4" width="14.28125" style="6" customWidth="1"/>
    <col min="5" max="5" width="18.140625" style="6" customWidth="1"/>
    <col min="6" max="6" width="34.00390625" style="6" customWidth="1"/>
    <col min="7" max="16384" width="9.140625" style="6" customWidth="1"/>
  </cols>
  <sheetData>
    <row r="1" ht="18">
      <c r="F1" s="11" t="s">
        <v>255</v>
      </c>
    </row>
    <row r="3" spans="1:6" s="25" customFormat="1" ht="28.5" customHeight="1">
      <c r="A3" s="644" t="s">
        <v>211</v>
      </c>
      <c r="B3" s="644"/>
      <c r="C3" s="644"/>
      <c r="D3" s="644"/>
      <c r="E3" s="644"/>
      <c r="F3" s="644"/>
    </row>
    <row r="4" spans="1:6" s="70" customFormat="1" ht="27.75">
      <c r="A4" s="660" t="s">
        <v>716</v>
      </c>
      <c r="B4" s="660"/>
      <c r="C4" s="660"/>
      <c r="D4" s="660"/>
      <c r="E4" s="660"/>
      <c r="F4" s="660"/>
    </row>
    <row r="5" spans="1:6" s="70" customFormat="1" ht="27.75">
      <c r="A5" s="646" t="s">
        <v>344</v>
      </c>
      <c r="B5" s="646"/>
      <c r="C5" s="646"/>
      <c r="D5" s="646"/>
      <c r="E5" s="646"/>
      <c r="F5" s="646"/>
    </row>
    <row r="6" spans="1:6" s="70" customFormat="1" ht="23.25" customHeight="1">
      <c r="A6" s="660" t="s">
        <v>719</v>
      </c>
      <c r="B6" s="660"/>
      <c r="C6" s="660"/>
      <c r="D6" s="660"/>
      <c r="E6" s="660"/>
      <c r="F6" s="660"/>
    </row>
    <row r="7" spans="1:6" s="70" customFormat="1" ht="24.75" customHeight="1">
      <c r="A7" s="672" t="s">
        <v>252</v>
      </c>
      <c r="B7" s="672"/>
      <c r="C7" s="672"/>
      <c r="D7" s="672"/>
      <c r="E7" s="672"/>
      <c r="F7" s="672"/>
    </row>
    <row r="8" ht="15">
      <c r="B8" s="1"/>
    </row>
    <row r="9" spans="1:6" ht="18.75" customHeight="1">
      <c r="A9" s="566" t="s">
        <v>157</v>
      </c>
      <c r="B9" s="569" t="s">
        <v>156</v>
      </c>
      <c r="C9" s="666" t="s">
        <v>253</v>
      </c>
      <c r="D9" s="667"/>
      <c r="E9" s="666" t="s">
        <v>254</v>
      </c>
      <c r="F9" s="667"/>
    </row>
    <row r="10" spans="1:6" ht="75" customHeight="1">
      <c r="A10" s="568"/>
      <c r="B10" s="571"/>
      <c r="C10" s="382" t="s">
        <v>210</v>
      </c>
      <c r="D10" s="382" t="s">
        <v>209</v>
      </c>
      <c r="E10" s="382" t="s">
        <v>210</v>
      </c>
      <c r="F10" s="382" t="s">
        <v>209</v>
      </c>
    </row>
    <row r="11" spans="1:6" ht="18">
      <c r="A11" s="382">
        <v>1</v>
      </c>
      <c r="B11" s="382">
        <v>2</v>
      </c>
      <c r="C11" s="337">
        <v>3</v>
      </c>
      <c r="D11" s="337">
        <v>4</v>
      </c>
      <c r="E11" s="337">
        <v>5</v>
      </c>
      <c r="F11" s="337">
        <v>6</v>
      </c>
    </row>
    <row r="12" spans="1:6" s="25" customFormat="1" ht="18">
      <c r="A12" s="87">
        <v>1</v>
      </c>
      <c r="B12" s="79" t="s">
        <v>208</v>
      </c>
      <c r="C12" s="91" t="s">
        <v>144</v>
      </c>
      <c r="D12" s="173">
        <f>SUM(D14:D19)</f>
        <v>0</v>
      </c>
      <c r="E12" s="337" t="s">
        <v>144</v>
      </c>
      <c r="F12" s="472">
        <f>SUM(F14:F19)</f>
        <v>108960.87</v>
      </c>
    </row>
    <row r="13" spans="1:6" ht="18">
      <c r="A13" s="299"/>
      <c r="B13" s="79" t="s">
        <v>40</v>
      </c>
      <c r="C13" s="190"/>
      <c r="D13" s="176"/>
      <c r="E13" s="190"/>
      <c r="F13" s="322"/>
    </row>
    <row r="14" spans="1:6" ht="18">
      <c r="A14" s="299"/>
      <c r="B14" s="79"/>
      <c r="C14" s="190"/>
      <c r="D14" s="176"/>
      <c r="E14" s="190"/>
      <c r="F14" s="322"/>
    </row>
    <row r="15" spans="1:6" ht="20.25" customHeight="1">
      <c r="A15" s="299"/>
      <c r="B15" s="79" t="s">
        <v>206</v>
      </c>
      <c r="C15" s="190"/>
      <c r="D15" s="176"/>
      <c r="E15" s="190"/>
      <c r="F15" s="322">
        <v>13185</v>
      </c>
    </row>
    <row r="16" spans="1:6" ht="20.25" customHeight="1">
      <c r="A16" s="299"/>
      <c r="B16" s="79" t="s">
        <v>626</v>
      </c>
      <c r="C16" s="190"/>
      <c r="D16" s="176"/>
      <c r="E16" s="190">
        <v>1</v>
      </c>
      <c r="F16" s="322">
        <v>30030</v>
      </c>
    </row>
    <row r="17" spans="1:6" ht="22.5" customHeight="1">
      <c r="A17" s="299"/>
      <c r="B17" s="79" t="s">
        <v>659</v>
      </c>
      <c r="C17" s="190"/>
      <c r="D17" s="176"/>
      <c r="E17" s="190">
        <v>3</v>
      </c>
      <c r="F17" s="322">
        <v>65745.87</v>
      </c>
    </row>
    <row r="18" spans="1:6" ht="18.75" customHeight="1" hidden="1">
      <c r="A18" s="299"/>
      <c r="B18" s="79"/>
      <c r="C18" s="190"/>
      <c r="D18" s="176"/>
      <c r="E18" s="190"/>
      <c r="F18" s="322"/>
    </row>
    <row r="19" spans="1:6" ht="18.75" customHeight="1" hidden="1">
      <c r="A19" s="299"/>
      <c r="B19" s="180"/>
      <c r="C19" s="190"/>
      <c r="D19" s="176"/>
      <c r="E19" s="190"/>
      <c r="F19" s="322"/>
    </row>
    <row r="20" spans="1:6" s="25" customFormat="1" ht="18">
      <c r="A20" s="87">
        <v>2</v>
      </c>
      <c r="B20" s="79" t="s">
        <v>203</v>
      </c>
      <c r="C20" s="91" t="s">
        <v>144</v>
      </c>
      <c r="D20" s="176">
        <f>SUM(D22:D25)</f>
        <v>0</v>
      </c>
      <c r="E20" s="91" t="s">
        <v>144</v>
      </c>
      <c r="F20" s="329">
        <f>SUM(F21:F25)</f>
        <v>7440</v>
      </c>
    </row>
    <row r="21" spans="1:6" ht="18">
      <c r="A21" s="299"/>
      <c r="B21" s="79" t="s">
        <v>625</v>
      </c>
      <c r="C21" s="190"/>
      <c r="D21" s="176"/>
      <c r="E21" s="190">
        <v>1</v>
      </c>
      <c r="F21" s="322">
        <v>7440</v>
      </c>
    </row>
    <row r="22" spans="1:6" ht="21" customHeight="1">
      <c r="A22" s="299"/>
      <c r="B22" s="80" t="s">
        <v>443</v>
      </c>
      <c r="C22" s="190"/>
      <c r="D22" s="176"/>
      <c r="E22" s="190"/>
      <c r="F22" s="322"/>
    </row>
    <row r="23" spans="1:6" ht="18" hidden="1">
      <c r="A23" s="299"/>
      <c r="B23" s="79"/>
      <c r="C23" s="190"/>
      <c r="D23" s="176"/>
      <c r="E23" s="190">
        <v>12</v>
      </c>
      <c r="F23" s="322"/>
    </row>
    <row r="24" spans="1:6" ht="18.75" customHeight="1" hidden="1">
      <c r="A24" s="299"/>
      <c r="B24" s="79"/>
      <c r="C24" s="190"/>
      <c r="D24" s="176"/>
      <c r="E24" s="190"/>
      <c r="F24" s="322"/>
    </row>
    <row r="25" spans="1:6" ht="18.75" customHeight="1" hidden="1">
      <c r="A25" s="299"/>
      <c r="B25" s="180"/>
      <c r="C25" s="190"/>
      <c r="D25" s="176"/>
      <c r="E25" s="190"/>
      <c r="F25" s="322"/>
    </row>
    <row r="26" spans="1:6" s="25" customFormat="1" ht="18">
      <c r="A26" s="87">
        <v>3</v>
      </c>
      <c r="B26" s="79" t="s">
        <v>200</v>
      </c>
      <c r="C26" s="91" t="s">
        <v>144</v>
      </c>
      <c r="D26" s="176">
        <f>SUM(D28:D30)</f>
        <v>0</v>
      </c>
      <c r="E26" s="91" t="s">
        <v>144</v>
      </c>
      <c r="F26" s="329">
        <f>F27</f>
        <v>60000</v>
      </c>
    </row>
    <row r="27" spans="1:6" ht="54">
      <c r="A27" s="299"/>
      <c r="B27" s="79" t="s">
        <v>627</v>
      </c>
      <c r="C27" s="190"/>
      <c r="D27" s="176"/>
      <c r="E27" s="190"/>
      <c r="F27" s="322">
        <v>60000</v>
      </c>
    </row>
    <row r="28" spans="1:6" ht="23.25" customHeight="1">
      <c r="A28" s="299">
        <v>4</v>
      </c>
      <c r="B28" s="80" t="s">
        <v>531</v>
      </c>
      <c r="C28" s="190"/>
      <c r="D28" s="176"/>
      <c r="E28" s="190"/>
      <c r="F28" s="322"/>
    </row>
    <row r="29" spans="1:6" ht="15.75" customHeight="1" hidden="1">
      <c r="A29" s="299"/>
      <c r="B29" s="80"/>
      <c r="C29" s="190"/>
      <c r="D29" s="176"/>
      <c r="E29" s="190"/>
      <c r="F29" s="322"/>
    </row>
    <row r="30" spans="1:6" ht="18.75" customHeight="1" hidden="1">
      <c r="A30" s="299"/>
      <c r="B30" s="80"/>
      <c r="C30" s="190"/>
      <c r="D30" s="176"/>
      <c r="E30" s="190"/>
      <c r="F30" s="322"/>
    </row>
    <row r="31" spans="1:6" ht="18.75" customHeight="1" hidden="1">
      <c r="A31" s="299"/>
      <c r="B31" s="80"/>
      <c r="C31" s="190"/>
      <c r="D31" s="176"/>
      <c r="E31" s="190"/>
      <c r="F31" s="322"/>
    </row>
    <row r="32" spans="1:6" ht="18.75" customHeight="1" hidden="1">
      <c r="A32" s="299"/>
      <c r="B32" s="80"/>
      <c r="C32" s="190"/>
      <c r="D32" s="176"/>
      <c r="E32" s="190"/>
      <c r="F32" s="322"/>
    </row>
    <row r="33" spans="1:6" ht="18">
      <c r="A33" s="87">
        <v>5</v>
      </c>
      <c r="B33" s="80" t="s">
        <v>359</v>
      </c>
      <c r="C33" s="190"/>
      <c r="D33" s="176"/>
      <c r="E33" s="190"/>
      <c r="F33" s="329">
        <f>SUM(F34:F40)</f>
        <v>135000</v>
      </c>
    </row>
    <row r="34" spans="1:6" ht="18">
      <c r="A34" s="299"/>
      <c r="B34" s="80" t="s">
        <v>40</v>
      </c>
      <c r="C34" s="190"/>
      <c r="D34" s="176"/>
      <c r="E34" s="190"/>
      <c r="F34" s="322"/>
    </row>
    <row r="35" spans="1:6" ht="18">
      <c r="A35" s="299"/>
      <c r="B35" s="80" t="s">
        <v>622</v>
      </c>
      <c r="C35" s="190"/>
      <c r="D35" s="176"/>
      <c r="E35" s="190">
        <v>1</v>
      </c>
      <c r="F35" s="322">
        <v>25000</v>
      </c>
    </row>
    <row r="36" spans="1:6" ht="18">
      <c r="A36" s="299"/>
      <c r="B36" s="444" t="s">
        <v>656</v>
      </c>
      <c r="C36" s="190"/>
      <c r="D36" s="176"/>
      <c r="E36" s="190">
        <v>1</v>
      </c>
      <c r="F36" s="322">
        <v>15000</v>
      </c>
    </row>
    <row r="37" spans="1:10" ht="18">
      <c r="A37" s="299"/>
      <c r="B37" s="80" t="s">
        <v>549</v>
      </c>
      <c r="C37" s="190"/>
      <c r="D37" s="176"/>
      <c r="E37" s="190"/>
      <c r="F37" s="322">
        <v>30000</v>
      </c>
      <c r="H37" s="390" t="s">
        <v>532</v>
      </c>
      <c r="I37" s="390"/>
      <c r="J37" s="390"/>
    </row>
    <row r="38" spans="1:10" ht="18">
      <c r="A38" s="299"/>
      <c r="B38" s="80" t="s">
        <v>623</v>
      </c>
      <c r="C38" s="190"/>
      <c r="D38" s="176"/>
      <c r="E38" s="190"/>
      <c r="F38" s="322">
        <v>15000</v>
      </c>
      <c r="H38" s="390"/>
      <c r="I38" s="390"/>
      <c r="J38" s="390"/>
    </row>
    <row r="39" spans="1:6" ht="18">
      <c r="A39" s="299"/>
      <c r="B39" s="80" t="s">
        <v>624</v>
      </c>
      <c r="C39" s="190"/>
      <c r="D39" s="176"/>
      <c r="E39" s="190"/>
      <c r="F39" s="322">
        <v>50000</v>
      </c>
    </row>
    <row r="40" spans="1:6" ht="18.75" customHeight="1" hidden="1">
      <c r="A40" s="180"/>
      <c r="B40" s="180"/>
      <c r="C40" s="190"/>
      <c r="D40" s="176"/>
      <c r="E40" s="190"/>
      <c r="F40" s="322"/>
    </row>
    <row r="41" spans="1:8" s="25" customFormat="1" ht="18">
      <c r="A41" s="85"/>
      <c r="B41" s="80" t="s">
        <v>145</v>
      </c>
      <c r="C41" s="91" t="s">
        <v>144</v>
      </c>
      <c r="D41" s="176" t="e">
        <f>#REF!+D26+D20+D12</f>
        <v>#REF!</v>
      </c>
      <c r="E41" s="91" t="s">
        <v>144</v>
      </c>
      <c r="F41" s="322">
        <f>F33+F28+F26+F20+F12</f>
        <v>311400.87</v>
      </c>
      <c r="H41" s="25">
        <v>667000</v>
      </c>
    </row>
    <row r="44" spans="2:6" s="3" customFormat="1" ht="18">
      <c r="B44" s="3" t="s">
        <v>589</v>
      </c>
      <c r="E44" s="3" t="s">
        <v>753</v>
      </c>
      <c r="F44" s="6"/>
    </row>
    <row r="45" spans="2:6" s="3" customFormat="1" ht="18">
      <c r="B45" s="3" t="s">
        <v>606</v>
      </c>
      <c r="E45" s="3" t="s">
        <v>402</v>
      </c>
      <c r="F45" s="6"/>
    </row>
    <row r="46" s="3" customFormat="1" ht="18">
      <c r="F46" s="6"/>
    </row>
    <row r="47" spans="2:6" s="3" customFormat="1" ht="18">
      <c r="B47" s="3" t="s">
        <v>408</v>
      </c>
      <c r="E47" s="3" t="s">
        <v>591</v>
      </c>
      <c r="F47" s="6"/>
    </row>
    <row r="48" spans="2:6" s="3" customFormat="1" ht="18">
      <c r="B48" s="3" t="s">
        <v>606</v>
      </c>
      <c r="E48" s="3" t="s">
        <v>402</v>
      </c>
      <c r="F48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2" top="0.42" bottom="0.37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5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8.140625" style="6" customWidth="1"/>
    <col min="2" max="2" width="85.140625" style="6" customWidth="1"/>
    <col min="3" max="3" width="20.421875" style="6" customWidth="1"/>
    <col min="4" max="4" width="16.57421875" style="6" customWidth="1"/>
    <col min="5" max="5" width="1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700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719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337" t="s">
        <v>216</v>
      </c>
      <c r="E10" s="337" t="s">
        <v>217</v>
      </c>
      <c r="F10" s="337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215</v>
      </c>
      <c r="C12" s="337" t="s">
        <v>144</v>
      </c>
      <c r="D12" s="177">
        <f>SUM(D13:D15)</f>
        <v>0</v>
      </c>
      <c r="E12" s="337" t="s">
        <v>144</v>
      </c>
      <c r="F12" s="259">
        <f>SUM(F13:F15)</f>
        <v>6058</v>
      </c>
    </row>
    <row r="13" spans="1:6" ht="18">
      <c r="A13" s="298"/>
      <c r="B13" s="80" t="s">
        <v>360</v>
      </c>
      <c r="C13" s="91"/>
      <c r="D13" s="178"/>
      <c r="E13" s="91"/>
      <c r="F13" s="258"/>
    </row>
    <row r="14" spans="1:6" ht="18">
      <c r="A14" s="298"/>
      <c r="B14" s="88" t="s">
        <v>638</v>
      </c>
      <c r="C14" s="91"/>
      <c r="D14" s="178"/>
      <c r="E14" s="91">
        <v>1</v>
      </c>
      <c r="F14" s="258">
        <v>6058</v>
      </c>
    </row>
    <row r="15" spans="1:6" ht="18" hidden="1">
      <c r="A15" s="298"/>
      <c r="B15" s="88"/>
      <c r="C15" s="91"/>
      <c r="D15" s="178"/>
      <c r="E15" s="91"/>
      <c r="F15" s="258"/>
    </row>
    <row r="16" spans="1:6" ht="18" hidden="1">
      <c r="A16" s="298"/>
      <c r="B16" s="88"/>
      <c r="C16" s="91"/>
      <c r="D16" s="178"/>
      <c r="E16" s="91"/>
      <c r="F16" s="258"/>
    </row>
    <row r="17" spans="1:6" ht="18">
      <c r="A17" s="268"/>
      <c r="B17" s="80"/>
      <c r="C17" s="91"/>
      <c r="D17" s="178"/>
      <c r="E17" s="91"/>
      <c r="F17" s="260">
        <v>0</v>
      </c>
    </row>
    <row r="18" spans="1:6" ht="21" customHeight="1">
      <c r="A18" s="268"/>
      <c r="B18" s="77" t="s">
        <v>145</v>
      </c>
      <c r="C18" s="100" t="s">
        <v>144</v>
      </c>
      <c r="D18" s="179">
        <f>SUM(D19:D20)</f>
        <v>0</v>
      </c>
      <c r="E18" s="100" t="s">
        <v>144</v>
      </c>
      <c r="F18" s="259">
        <f>F12</f>
        <v>6058</v>
      </c>
    </row>
    <row r="19" ht="14.25">
      <c r="F19" s="254"/>
    </row>
    <row r="21" spans="2:6" s="3" customFormat="1" ht="18">
      <c r="B21" s="3" t="s">
        <v>589</v>
      </c>
      <c r="E21" s="3" t="s">
        <v>753</v>
      </c>
      <c r="F21" s="6"/>
    </row>
    <row r="22" spans="2:6" s="3" customFormat="1" ht="18">
      <c r="B22" s="3" t="s">
        <v>606</v>
      </c>
      <c r="E22" s="3" t="s">
        <v>402</v>
      </c>
      <c r="F22" s="6"/>
    </row>
    <row r="23" s="3" customFormat="1" ht="18">
      <c r="F23" s="6"/>
    </row>
    <row r="24" spans="2:6" s="3" customFormat="1" ht="18">
      <c r="B24" s="3" t="s">
        <v>408</v>
      </c>
      <c r="E24" s="3" t="s">
        <v>591</v>
      </c>
      <c r="F24" s="6"/>
    </row>
    <row r="25" spans="2:6" s="3" customFormat="1" ht="18">
      <c r="B25" s="3" t="s">
        <v>606</v>
      </c>
      <c r="E25" s="3" t="s">
        <v>402</v>
      </c>
      <c r="F25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colBreaks count="1" manualBreakCount="1">
    <brk id="1" max="56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6"/>
  <sheetViews>
    <sheetView view="pageBreakPreview" zoomScale="60" zoomScalePageLayoutView="0" workbookViewId="0" topLeftCell="A22">
      <selection activeCell="B34" sqref="B34"/>
    </sheetView>
  </sheetViews>
  <sheetFormatPr defaultColWidth="9.140625" defaultRowHeight="15"/>
  <cols>
    <col min="1" max="1" width="8.140625" style="6" customWidth="1"/>
    <col min="2" max="2" width="85.140625" style="6" customWidth="1"/>
    <col min="3" max="3" width="20.421875" style="6" customWidth="1"/>
    <col min="4" max="4" width="16.57421875" style="6" customWidth="1"/>
    <col min="5" max="5" width="1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719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42" t="s">
        <v>216</v>
      </c>
      <c r="E10" s="42" t="s">
        <v>217</v>
      </c>
      <c r="F10" s="42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18" hidden="1">
      <c r="A12" s="298"/>
      <c r="B12" s="88"/>
      <c r="C12" s="91"/>
      <c r="D12" s="178"/>
      <c r="E12" s="91"/>
      <c r="F12" s="258"/>
    </row>
    <row r="13" spans="1:6" ht="18" hidden="1">
      <c r="A13" s="298"/>
      <c r="B13" s="88"/>
      <c r="C13" s="91"/>
      <c r="D13" s="178"/>
      <c r="E13" s="91"/>
      <c r="F13" s="258"/>
    </row>
    <row r="14" spans="1:6" ht="21" customHeight="1">
      <c r="A14" s="298">
        <v>1</v>
      </c>
      <c r="B14" s="80" t="s">
        <v>214</v>
      </c>
      <c r="C14" s="42" t="s">
        <v>144</v>
      </c>
      <c r="D14" s="177">
        <f>SUM(D15:D17)</f>
        <v>0</v>
      </c>
      <c r="E14" s="42" t="s">
        <v>144</v>
      </c>
      <c r="F14" s="257">
        <f>F18+F19</f>
        <v>0</v>
      </c>
    </row>
    <row r="15" spans="1:6" ht="18">
      <c r="A15" s="298"/>
      <c r="B15" s="80" t="s">
        <v>360</v>
      </c>
      <c r="C15" s="91"/>
      <c r="D15" s="178"/>
      <c r="E15" s="91"/>
      <c r="F15" s="258"/>
    </row>
    <row r="16" spans="1:6" ht="18" hidden="1">
      <c r="A16" s="298"/>
      <c r="B16" s="80"/>
      <c r="C16" s="91"/>
      <c r="D16" s="178"/>
      <c r="E16" s="91"/>
      <c r="F16" s="258"/>
    </row>
    <row r="17" spans="1:6" ht="18" hidden="1">
      <c r="A17" s="298"/>
      <c r="B17" s="88"/>
      <c r="C17" s="91"/>
      <c r="D17" s="178"/>
      <c r="E17" s="91"/>
      <c r="F17" s="258"/>
    </row>
    <row r="18" spans="1:6" ht="18" hidden="1">
      <c r="A18" s="298"/>
      <c r="B18" s="88"/>
      <c r="C18" s="91"/>
      <c r="D18" s="178"/>
      <c r="E18" s="91"/>
      <c r="F18" s="258"/>
    </row>
    <row r="19" spans="1:6" ht="18" hidden="1">
      <c r="A19" s="298"/>
      <c r="B19" s="386"/>
      <c r="C19" s="91"/>
      <c r="D19" s="178"/>
      <c r="E19" s="91"/>
      <c r="F19" s="258"/>
    </row>
    <row r="20" spans="1:6" ht="41.25" customHeight="1">
      <c r="A20" s="298">
        <v>2</v>
      </c>
      <c r="B20" s="80" t="s">
        <v>213</v>
      </c>
      <c r="C20" s="42" t="s">
        <v>144</v>
      </c>
      <c r="D20" s="177">
        <f>SUM(D21:D25)</f>
        <v>0</v>
      </c>
      <c r="E20" s="42" t="s">
        <v>144</v>
      </c>
      <c r="F20" s="259">
        <f>SUM(F21:F26)</f>
        <v>274067.24</v>
      </c>
    </row>
    <row r="21" spans="1:6" ht="18">
      <c r="A21" s="298"/>
      <c r="B21" s="80" t="s">
        <v>40</v>
      </c>
      <c r="C21" s="91"/>
      <c r="D21" s="178"/>
      <c r="E21" s="91"/>
      <c r="F21" s="260"/>
    </row>
    <row r="22" spans="1:6" ht="18">
      <c r="A22" s="298"/>
      <c r="B22" s="80" t="s">
        <v>557</v>
      </c>
      <c r="C22" s="91"/>
      <c r="D22" s="178"/>
      <c r="E22" s="91"/>
      <c r="F22" s="322">
        <v>198000</v>
      </c>
    </row>
    <row r="23" spans="1:6" ht="18">
      <c r="A23" s="298"/>
      <c r="B23" s="80" t="s">
        <v>536</v>
      </c>
      <c r="C23" s="91"/>
      <c r="D23" s="178"/>
      <c r="E23" s="91">
        <v>1</v>
      </c>
      <c r="F23" s="322">
        <v>7480</v>
      </c>
    </row>
    <row r="24" spans="1:6" ht="18">
      <c r="A24" s="298"/>
      <c r="B24" s="80" t="s">
        <v>639</v>
      </c>
      <c r="C24" s="91"/>
      <c r="D24" s="178"/>
      <c r="E24" s="91">
        <v>1</v>
      </c>
      <c r="F24" s="322">
        <v>13810</v>
      </c>
    </row>
    <row r="25" spans="1:6" ht="18.75" customHeight="1">
      <c r="A25" s="298"/>
      <c r="B25" s="80" t="s">
        <v>447</v>
      </c>
      <c r="C25" s="91"/>
      <c r="D25" s="178"/>
      <c r="E25" s="91"/>
      <c r="F25" s="322"/>
    </row>
    <row r="26" spans="1:6" ht="18.75" customHeight="1">
      <c r="A26" s="298"/>
      <c r="B26" s="80" t="s">
        <v>637</v>
      </c>
      <c r="C26" s="91"/>
      <c r="D26" s="178"/>
      <c r="E26" s="91">
        <v>1</v>
      </c>
      <c r="F26" s="322">
        <v>54777.24</v>
      </c>
    </row>
    <row r="27" spans="1:6" ht="18" customHeight="1">
      <c r="A27" s="298">
        <v>3</v>
      </c>
      <c r="B27" s="80" t="s">
        <v>212</v>
      </c>
      <c r="C27" s="42" t="s">
        <v>144</v>
      </c>
      <c r="D27" s="177">
        <f>SUM(D28:D30)</f>
        <v>0</v>
      </c>
      <c r="E27" s="42" t="s">
        <v>144</v>
      </c>
      <c r="F27" s="443">
        <f>F32+F33+F35+F38+F36+F37</f>
        <v>451320</v>
      </c>
    </row>
    <row r="28" spans="1:6" ht="18">
      <c r="A28" s="298"/>
      <c r="B28" s="80" t="s">
        <v>40</v>
      </c>
      <c r="C28" s="91"/>
      <c r="D28" s="178"/>
      <c r="E28" s="91"/>
      <c r="F28" s="322"/>
    </row>
    <row r="29" spans="1:6" ht="18" hidden="1">
      <c r="A29" s="298"/>
      <c r="B29" s="80" t="s">
        <v>446</v>
      </c>
      <c r="C29" s="91"/>
      <c r="D29" s="178"/>
      <c r="E29" s="91"/>
      <c r="F29" s="322"/>
    </row>
    <row r="30" spans="1:6" ht="18" hidden="1">
      <c r="A30" s="298"/>
      <c r="B30" s="80"/>
      <c r="C30" s="91"/>
      <c r="D30" s="178"/>
      <c r="E30" s="91"/>
      <c r="F30" s="322"/>
    </row>
    <row r="31" spans="1:6" ht="18" hidden="1">
      <c r="A31" s="298"/>
      <c r="B31" s="80"/>
      <c r="C31" s="91"/>
      <c r="D31" s="178"/>
      <c r="E31" s="91"/>
      <c r="F31" s="322"/>
    </row>
    <row r="32" spans="1:6" ht="18">
      <c r="A32" s="298"/>
      <c r="B32" s="80" t="s">
        <v>533</v>
      </c>
      <c r="C32" s="91"/>
      <c r="D32" s="178"/>
      <c r="E32" s="91"/>
      <c r="F32" s="322">
        <f>9247.5+9247.5+9247.5+9247.5</f>
        <v>36990</v>
      </c>
    </row>
    <row r="33" spans="1:6" ht="18">
      <c r="A33" s="298"/>
      <c r="B33" s="80" t="s">
        <v>636</v>
      </c>
      <c r="C33" s="91"/>
      <c r="D33" s="178"/>
      <c r="E33" s="91"/>
      <c r="F33" s="322">
        <v>208000</v>
      </c>
    </row>
    <row r="34" spans="1:6" ht="18">
      <c r="A34" s="298"/>
      <c r="B34" s="80" t="s">
        <v>534</v>
      </c>
      <c r="C34" s="91"/>
      <c r="D34" s="178"/>
      <c r="E34" s="91"/>
      <c r="F34" s="322"/>
    </row>
    <row r="35" spans="1:6" ht="18">
      <c r="A35" s="298"/>
      <c r="B35" s="80" t="s">
        <v>641</v>
      </c>
      <c r="C35" s="91"/>
      <c r="D35" s="178"/>
      <c r="E35" s="91"/>
      <c r="F35" s="322">
        <v>121380</v>
      </c>
    </row>
    <row r="36" spans="1:6" ht="18">
      <c r="A36" s="298"/>
      <c r="B36" s="80" t="s">
        <v>643</v>
      </c>
      <c r="C36" s="91"/>
      <c r="D36" s="178"/>
      <c r="E36" s="91"/>
      <c r="F36" s="322">
        <v>50000</v>
      </c>
    </row>
    <row r="37" spans="1:6" ht="18">
      <c r="A37" s="298"/>
      <c r="B37" s="80" t="s">
        <v>644</v>
      </c>
      <c r="C37" s="91"/>
      <c r="D37" s="178"/>
      <c r="E37" s="91"/>
      <c r="F37" s="322">
        <v>31200</v>
      </c>
    </row>
    <row r="38" spans="1:6" ht="18">
      <c r="A38" s="298"/>
      <c r="B38" s="80" t="s">
        <v>640</v>
      </c>
      <c r="C38" s="91"/>
      <c r="D38" s="178"/>
      <c r="E38" s="91"/>
      <c r="F38" s="322">
        <v>3750</v>
      </c>
    </row>
    <row r="39" spans="1:6" ht="18">
      <c r="A39" s="298"/>
      <c r="B39" s="444"/>
      <c r="C39" s="91"/>
      <c r="D39" s="178"/>
      <c r="E39" s="91"/>
      <c r="F39" s="445"/>
    </row>
    <row r="40" spans="1:6" ht="18">
      <c r="A40" s="298">
        <v>4</v>
      </c>
      <c r="B40" s="80" t="s">
        <v>361</v>
      </c>
      <c r="C40" s="42" t="s">
        <v>144</v>
      </c>
      <c r="D40" s="177">
        <f>SUM(D41:D49)</f>
        <v>0</v>
      </c>
      <c r="E40" s="42" t="s">
        <v>144</v>
      </c>
      <c r="F40" s="443">
        <f>SUM(F41:F48)</f>
        <v>331200</v>
      </c>
    </row>
    <row r="41" spans="1:6" ht="18">
      <c r="A41" s="298"/>
      <c r="B41" s="80" t="s">
        <v>40</v>
      </c>
      <c r="C41" s="91"/>
      <c r="D41" s="178"/>
      <c r="E41" s="91"/>
      <c r="F41" s="260"/>
    </row>
    <row r="42" spans="1:6" ht="18">
      <c r="A42" s="268"/>
      <c r="B42" s="80" t="s">
        <v>645</v>
      </c>
      <c r="C42" s="91"/>
      <c r="D42" s="178"/>
      <c r="E42" s="91"/>
      <c r="F42" s="260">
        <v>90000</v>
      </c>
    </row>
    <row r="43" spans="1:6" ht="18">
      <c r="A43" s="268"/>
      <c r="B43" s="475" t="s">
        <v>456</v>
      </c>
      <c r="C43" s="91"/>
      <c r="D43" s="178"/>
      <c r="E43" s="91"/>
      <c r="F43" s="260">
        <v>4400</v>
      </c>
    </row>
    <row r="44" spans="1:6" ht="18">
      <c r="A44" s="268"/>
      <c r="B44" s="80" t="s">
        <v>646</v>
      </c>
      <c r="C44" s="91"/>
      <c r="D44" s="178"/>
      <c r="E44" s="91"/>
      <c r="F44" s="260">
        <v>79000</v>
      </c>
    </row>
    <row r="45" spans="1:6" ht="18">
      <c r="A45" s="268"/>
      <c r="B45" s="80" t="s">
        <v>668</v>
      </c>
      <c r="C45" s="91"/>
      <c r="D45" s="178"/>
      <c r="E45" s="91"/>
      <c r="F45" s="260">
        <v>20000</v>
      </c>
    </row>
    <row r="46" spans="1:6" ht="18">
      <c r="A46" s="268"/>
      <c r="B46" s="80" t="s">
        <v>642</v>
      </c>
      <c r="C46" s="91"/>
      <c r="D46" s="178"/>
      <c r="E46" s="91"/>
      <c r="F46" s="260">
        <v>10000</v>
      </c>
    </row>
    <row r="47" spans="1:6" ht="18">
      <c r="A47" s="268"/>
      <c r="B47" s="80" t="s">
        <v>535</v>
      </c>
      <c r="C47" s="91"/>
      <c r="D47" s="178"/>
      <c r="E47" s="91"/>
      <c r="F47" s="260">
        <v>110000</v>
      </c>
    </row>
    <row r="48" spans="1:6" ht="18">
      <c r="A48" s="268"/>
      <c r="B48" s="444" t="s">
        <v>651</v>
      </c>
      <c r="C48" s="91"/>
      <c r="D48" s="178"/>
      <c r="E48" s="91"/>
      <c r="F48" s="260">
        <v>17800</v>
      </c>
    </row>
    <row r="49" spans="1:6" ht="21" customHeight="1">
      <c r="A49" s="268"/>
      <c r="B49" s="77" t="s">
        <v>145</v>
      </c>
      <c r="C49" s="100" t="s">
        <v>144</v>
      </c>
      <c r="D49" s="179">
        <f>SUM(D50:D51)</f>
        <v>0</v>
      </c>
      <c r="E49" s="100" t="s">
        <v>144</v>
      </c>
      <c r="F49" s="259">
        <f>F20+F27+F40+F14</f>
        <v>1056587.24</v>
      </c>
    </row>
    <row r="50" ht="14.25">
      <c r="F50" s="254"/>
    </row>
    <row r="52" spans="2:6" s="3" customFormat="1" ht="18">
      <c r="B52" s="3" t="s">
        <v>589</v>
      </c>
      <c r="E52" s="3" t="s">
        <v>753</v>
      </c>
      <c r="F52" s="6"/>
    </row>
    <row r="53" spans="2:6" s="3" customFormat="1" ht="18">
      <c r="B53" s="3" t="s">
        <v>606</v>
      </c>
      <c r="E53" s="3" t="s">
        <v>402</v>
      </c>
      <c r="F53" s="6"/>
    </row>
    <row r="54" s="3" customFormat="1" ht="18">
      <c r="F54" s="6"/>
    </row>
    <row r="55" spans="2:6" s="3" customFormat="1" ht="18">
      <c r="B55" s="3" t="s">
        <v>408</v>
      </c>
      <c r="E55" s="3" t="s">
        <v>591</v>
      </c>
      <c r="F55" s="6"/>
    </row>
    <row r="56" spans="2:6" s="3" customFormat="1" ht="18">
      <c r="B56" s="3" t="s">
        <v>606</v>
      </c>
      <c r="E56" s="3" t="s">
        <v>402</v>
      </c>
      <c r="F56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27" top="0.64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9"/>
  <sheetViews>
    <sheetView view="pageBreakPreview" zoomScale="60" zoomScalePageLayoutView="0" workbookViewId="0" topLeftCell="A4">
      <selection activeCell="D29" sqref="D29"/>
    </sheetView>
  </sheetViews>
  <sheetFormatPr defaultColWidth="9.140625" defaultRowHeight="15"/>
  <cols>
    <col min="1" max="1" width="7.00390625" style="6" customWidth="1"/>
    <col min="2" max="2" width="68.00390625" style="6" customWidth="1"/>
    <col min="3" max="3" width="20.28125" style="6" customWidth="1"/>
    <col min="4" max="4" width="25.140625" style="6" customWidth="1"/>
    <col min="5" max="5" width="30.7109375" style="6" customWidth="1"/>
    <col min="6" max="16384" width="9.140625" style="6" customWidth="1"/>
  </cols>
  <sheetData>
    <row r="1" ht="18">
      <c r="E1" s="231" t="s">
        <v>264</v>
      </c>
    </row>
    <row r="3" spans="1:5" ht="15" customHeight="1">
      <c r="A3" s="644" t="s">
        <v>234</v>
      </c>
      <c r="B3" s="644"/>
      <c r="C3" s="644"/>
      <c r="D3" s="644"/>
      <c r="E3" s="644"/>
    </row>
    <row r="4" spans="1:5" ht="24" customHeight="1">
      <c r="A4" s="660" t="s">
        <v>716</v>
      </c>
      <c r="B4" s="660"/>
      <c r="C4" s="660"/>
      <c r="D4" s="660"/>
      <c r="E4" s="660"/>
    </row>
    <row r="5" spans="1:5" ht="22.5" customHeight="1">
      <c r="A5" s="646" t="s">
        <v>344</v>
      </c>
      <c r="B5" s="646"/>
      <c r="C5" s="646"/>
      <c r="D5" s="646"/>
      <c r="E5" s="646"/>
    </row>
    <row r="6" spans="1:5" s="70" customFormat="1" ht="18.75" customHeight="1">
      <c r="A6" s="660" t="s">
        <v>719</v>
      </c>
      <c r="B6" s="660"/>
      <c r="C6" s="660"/>
      <c r="D6" s="660"/>
      <c r="E6" s="660"/>
    </row>
    <row r="7" spans="1:5" s="70" customFormat="1" ht="24.75" customHeight="1">
      <c r="A7" s="646" t="s">
        <v>252</v>
      </c>
      <c r="B7" s="646"/>
      <c r="C7" s="646"/>
      <c r="D7" s="646"/>
      <c r="E7" s="646"/>
    </row>
    <row r="9" ht="18">
      <c r="A9" s="84"/>
    </row>
    <row r="10" spans="1:5" s="104" customFormat="1" ht="36">
      <c r="A10" s="42" t="s">
        <v>157</v>
      </c>
      <c r="B10" s="42" t="s">
        <v>156</v>
      </c>
      <c r="C10" s="42" t="s">
        <v>195</v>
      </c>
      <c r="D10" s="42" t="s">
        <v>235</v>
      </c>
      <c r="E10" s="42" t="s">
        <v>236</v>
      </c>
    </row>
    <row r="11" spans="1:5" s="105" customFormat="1" ht="18">
      <c r="A11" s="91">
        <v>1</v>
      </c>
      <c r="B11" s="91">
        <v>2</v>
      </c>
      <c r="C11" s="91">
        <v>3</v>
      </c>
      <c r="D11" s="91">
        <v>4</v>
      </c>
      <c r="E11" s="91">
        <v>5</v>
      </c>
    </row>
    <row r="12" spans="1:5" s="25" customFormat="1" ht="18">
      <c r="A12" s="95"/>
      <c r="B12" s="83" t="s">
        <v>265</v>
      </c>
      <c r="C12" s="78"/>
      <c r="D12" s="114"/>
      <c r="E12" s="260">
        <f>SUM(E13:E13)</f>
        <v>20000</v>
      </c>
    </row>
    <row r="13" spans="1:5" ht="18">
      <c r="A13" s="86"/>
      <c r="B13" s="441" t="s">
        <v>621</v>
      </c>
      <c r="C13" s="78">
        <v>1</v>
      </c>
      <c r="D13" s="114">
        <v>20000</v>
      </c>
      <c r="E13" s="260">
        <f>C13*D13</f>
        <v>20000</v>
      </c>
    </row>
    <row r="14" spans="1:5" s="25" customFormat="1" ht="18">
      <c r="A14" s="95"/>
      <c r="B14" s="83" t="s">
        <v>266</v>
      </c>
      <c r="C14" s="78"/>
      <c r="D14" s="114"/>
      <c r="E14" s="260">
        <f>SUM(E15:E28)</f>
        <v>0</v>
      </c>
    </row>
    <row r="15" spans="1:5" ht="18">
      <c r="A15" s="86"/>
      <c r="B15" s="83"/>
      <c r="C15" s="78"/>
      <c r="D15" s="114"/>
      <c r="E15" s="260">
        <f aca="true" t="shared" si="0" ref="E15:E27">C15*D15</f>
        <v>0</v>
      </c>
    </row>
    <row r="16" spans="1:5" ht="18">
      <c r="A16" s="86"/>
      <c r="B16" s="200"/>
      <c r="C16" s="78"/>
      <c r="D16" s="114"/>
      <c r="E16" s="260">
        <f t="shared" si="0"/>
        <v>0</v>
      </c>
    </row>
    <row r="17" spans="1:5" ht="18">
      <c r="A17" s="86"/>
      <c r="B17" s="200"/>
      <c r="C17" s="78"/>
      <c r="D17" s="114"/>
      <c r="E17" s="260">
        <f t="shared" si="0"/>
        <v>0</v>
      </c>
    </row>
    <row r="18" spans="1:5" ht="18">
      <c r="A18" s="86"/>
      <c r="B18" s="200"/>
      <c r="C18" s="78"/>
      <c r="D18" s="114"/>
      <c r="E18" s="260">
        <f t="shared" si="0"/>
        <v>0</v>
      </c>
    </row>
    <row r="19" spans="1:5" ht="18">
      <c r="A19" s="86"/>
      <c r="B19" s="200"/>
      <c r="C19" s="78"/>
      <c r="D19" s="114"/>
      <c r="E19" s="260">
        <f t="shared" si="0"/>
        <v>0</v>
      </c>
    </row>
    <row r="20" spans="1:5" ht="18">
      <c r="A20" s="86"/>
      <c r="B20" s="200"/>
      <c r="C20" s="78"/>
      <c r="D20" s="114"/>
      <c r="E20" s="260">
        <f t="shared" si="0"/>
        <v>0</v>
      </c>
    </row>
    <row r="21" spans="1:5" ht="18">
      <c r="A21" s="86"/>
      <c r="B21" s="200"/>
      <c r="C21" s="78"/>
      <c r="D21" s="114"/>
      <c r="E21" s="260">
        <f t="shared" si="0"/>
        <v>0</v>
      </c>
    </row>
    <row r="22" spans="1:5" ht="18">
      <c r="A22" s="86"/>
      <c r="B22" s="200"/>
      <c r="C22" s="78"/>
      <c r="D22" s="114"/>
      <c r="E22" s="260">
        <f t="shared" si="0"/>
        <v>0</v>
      </c>
    </row>
    <row r="23" spans="1:5" ht="18">
      <c r="A23" s="86"/>
      <c r="B23" s="200"/>
      <c r="C23" s="78"/>
      <c r="D23" s="114"/>
      <c r="E23" s="260">
        <f t="shared" si="0"/>
        <v>0</v>
      </c>
    </row>
    <row r="24" spans="1:5" ht="18">
      <c r="A24" s="86"/>
      <c r="B24" s="200"/>
      <c r="C24" s="78"/>
      <c r="D24" s="114"/>
      <c r="E24" s="260">
        <f t="shared" si="0"/>
        <v>0</v>
      </c>
    </row>
    <row r="25" spans="1:5" ht="18">
      <c r="A25" s="86"/>
      <c r="B25" s="200"/>
      <c r="C25" s="78"/>
      <c r="D25" s="114"/>
      <c r="E25" s="260">
        <f t="shared" si="0"/>
        <v>0</v>
      </c>
    </row>
    <row r="26" spans="1:5" ht="18">
      <c r="A26" s="86"/>
      <c r="B26" s="200"/>
      <c r="C26" s="78"/>
      <c r="D26" s="114"/>
      <c r="E26" s="260">
        <f t="shared" si="0"/>
        <v>0</v>
      </c>
    </row>
    <row r="27" spans="1:5" ht="18">
      <c r="A27" s="86"/>
      <c r="B27" s="200"/>
      <c r="C27" s="78"/>
      <c r="D27" s="114"/>
      <c r="E27" s="260">
        <f t="shared" si="0"/>
        <v>0</v>
      </c>
    </row>
    <row r="28" spans="1:5" ht="18">
      <c r="A28" s="86"/>
      <c r="B28" s="200"/>
      <c r="C28" s="78"/>
      <c r="D28" s="114"/>
      <c r="E28" s="260"/>
    </row>
    <row r="29" spans="1:5" s="25" customFormat="1" ht="18">
      <c r="A29" s="95"/>
      <c r="B29" s="83" t="s">
        <v>267</v>
      </c>
      <c r="C29" s="78"/>
      <c r="D29" s="114"/>
      <c r="E29" s="260">
        <f>SUM(E30:E31)</f>
        <v>0</v>
      </c>
    </row>
    <row r="30" spans="1:5" ht="18" hidden="1">
      <c r="A30" s="86"/>
      <c r="B30" s="80"/>
      <c r="C30" s="78"/>
      <c r="D30" s="114"/>
      <c r="E30" s="260">
        <f>C30*D30</f>
        <v>0</v>
      </c>
    </row>
    <row r="31" spans="1:5" ht="18" hidden="1">
      <c r="A31" s="86"/>
      <c r="B31" s="180"/>
      <c r="C31" s="78"/>
      <c r="D31" s="114"/>
      <c r="E31" s="260">
        <f>C31*D31</f>
        <v>0</v>
      </c>
    </row>
    <row r="32" spans="1:5" s="25" customFormat="1" ht="18">
      <c r="A32" s="95"/>
      <c r="B32" s="80" t="s">
        <v>145</v>
      </c>
      <c r="C32" s="78"/>
      <c r="D32" s="113" t="s">
        <v>144</v>
      </c>
      <c r="E32" s="260">
        <f>E12+E14+E29</f>
        <v>20000</v>
      </c>
    </row>
    <row r="35" spans="2:6" s="3" customFormat="1" ht="18">
      <c r="B35" s="3" t="s">
        <v>589</v>
      </c>
      <c r="E35" s="3" t="s">
        <v>753</v>
      </c>
      <c r="F35" s="6"/>
    </row>
    <row r="36" spans="2:6" s="3" customFormat="1" ht="18">
      <c r="B36" s="3" t="s">
        <v>606</v>
      </c>
      <c r="E36" s="3" t="s">
        <v>402</v>
      </c>
      <c r="F36" s="6"/>
    </row>
    <row r="37" s="3" customFormat="1" ht="18">
      <c r="F37" s="6"/>
    </row>
    <row r="38" spans="2:6" s="3" customFormat="1" ht="18">
      <c r="B38" s="3" t="s">
        <v>408</v>
      </c>
      <c r="E38" s="3" t="s">
        <v>591</v>
      </c>
      <c r="F38" s="6"/>
    </row>
    <row r="39" spans="2:6" s="3" customFormat="1" ht="18">
      <c r="B39" s="3" t="s">
        <v>606</v>
      </c>
      <c r="E39" s="3" t="s">
        <v>402</v>
      </c>
      <c r="F39" s="6"/>
    </row>
    <row r="40" s="3" customFormat="1" ht="18"/>
    <row r="41" s="3" customFormat="1" ht="18"/>
    <row r="42" s="3" customFormat="1" ht="18"/>
  </sheetData>
  <sheetProtection/>
  <mergeCells count="5">
    <mergeCell ref="A3:E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0"/>
  <sheetViews>
    <sheetView view="pageBreakPreview" zoomScale="60" zoomScaleNormal="112" zoomScalePageLayoutView="0" workbookViewId="0" topLeftCell="A1">
      <selection activeCell="D26" sqref="D26"/>
    </sheetView>
  </sheetViews>
  <sheetFormatPr defaultColWidth="9.140625" defaultRowHeight="15"/>
  <cols>
    <col min="1" max="1" width="7.28125" style="1" customWidth="1"/>
    <col min="2" max="2" width="91.28125" style="1" customWidth="1"/>
    <col min="3" max="3" width="26.7109375" style="1" customWidth="1"/>
    <col min="4" max="4" width="42.7109375" style="1" customWidth="1"/>
    <col min="5" max="16384" width="8.8515625" style="1" customWidth="1"/>
  </cols>
  <sheetData>
    <row r="1" spans="1:4" ht="18">
      <c r="A1" s="3"/>
      <c r="B1" s="3"/>
      <c r="C1" s="3"/>
      <c r="D1" s="231" t="s">
        <v>268</v>
      </c>
    </row>
    <row r="2" spans="1:4" ht="12.75" customHeight="1">
      <c r="A2" s="3"/>
      <c r="B2" s="3"/>
      <c r="C2" s="3"/>
      <c r="D2" s="3"/>
    </row>
    <row r="3" spans="1:4" ht="29.25" customHeight="1">
      <c r="A3" s="656" t="s">
        <v>237</v>
      </c>
      <c r="B3" s="657"/>
      <c r="C3" s="657"/>
      <c r="D3" s="657"/>
    </row>
    <row r="4" spans="1:4" ht="20.25" customHeight="1">
      <c r="A4" s="660" t="s">
        <v>716</v>
      </c>
      <c r="B4" s="660"/>
      <c r="C4" s="660"/>
      <c r="D4" s="660"/>
    </row>
    <row r="5" spans="1:4" ht="17.25" customHeight="1">
      <c r="A5" s="646" t="s">
        <v>344</v>
      </c>
      <c r="B5" s="646"/>
      <c r="C5" s="646"/>
      <c r="D5" s="646"/>
    </row>
    <row r="6" spans="1:4" s="70" customFormat="1" ht="24.75" customHeight="1">
      <c r="A6" s="660" t="s">
        <v>719</v>
      </c>
      <c r="B6" s="660"/>
      <c r="C6" s="660"/>
      <c r="D6" s="660"/>
    </row>
    <row r="7" spans="1:4" s="70" customFormat="1" ht="18.75" customHeight="1">
      <c r="A7" s="646" t="s">
        <v>252</v>
      </c>
      <c r="B7" s="646"/>
      <c r="C7" s="646"/>
      <c r="D7" s="646"/>
    </row>
    <row r="8" spans="1:4" ht="18">
      <c r="A8" s="84"/>
      <c r="B8" s="3"/>
      <c r="C8" s="3"/>
      <c r="D8" s="3"/>
    </row>
    <row r="9" spans="1:4" s="232" customFormat="1" ht="15.75" customHeight="1">
      <c r="A9" s="654" t="s">
        <v>157</v>
      </c>
      <c r="B9" s="654" t="s">
        <v>278</v>
      </c>
      <c r="C9" s="654" t="s">
        <v>238</v>
      </c>
      <c r="D9" s="654" t="s">
        <v>36</v>
      </c>
    </row>
    <row r="10" spans="1:4" s="232" customFormat="1" ht="15.75" customHeight="1">
      <c r="A10" s="662"/>
      <c r="B10" s="662"/>
      <c r="C10" s="662"/>
      <c r="D10" s="662"/>
    </row>
    <row r="11" spans="1:4" s="232" customFormat="1" ht="15.75" customHeight="1">
      <c r="A11" s="655"/>
      <c r="B11" s="655"/>
      <c r="C11" s="655"/>
      <c r="D11" s="655"/>
    </row>
    <row r="12" spans="1:4" s="232" customFormat="1" ht="15">
      <c r="A12" s="107">
        <v>1</v>
      </c>
      <c r="B12" s="107">
        <v>2</v>
      </c>
      <c r="C12" s="107">
        <v>3</v>
      </c>
      <c r="D12" s="107">
        <v>3</v>
      </c>
    </row>
    <row r="13" spans="1:4" ht="18">
      <c r="A13" s="78">
        <v>1</v>
      </c>
      <c r="B13" s="80" t="s">
        <v>269</v>
      </c>
      <c r="C13" s="78" t="s">
        <v>437</v>
      </c>
      <c r="D13" s="260">
        <f>826634-100000</f>
        <v>726634</v>
      </c>
    </row>
    <row r="14" spans="1:4" ht="18">
      <c r="A14" s="78">
        <v>2</v>
      </c>
      <c r="B14" s="80" t="s">
        <v>270</v>
      </c>
      <c r="C14" s="78" t="s">
        <v>437</v>
      </c>
      <c r="D14" s="260">
        <v>25050</v>
      </c>
    </row>
    <row r="15" spans="1:4" s="108" customFormat="1" ht="18">
      <c r="A15" s="78">
        <v>3</v>
      </c>
      <c r="B15" s="80" t="s">
        <v>271</v>
      </c>
      <c r="C15" s="78" t="s">
        <v>435</v>
      </c>
      <c r="D15" s="260">
        <f>1083891-108294.6-59149+212055.2+0.4</f>
        <v>1128503</v>
      </c>
    </row>
    <row r="16" spans="1:4" s="108" customFormat="1" ht="18">
      <c r="A16" s="78">
        <v>4</v>
      </c>
      <c r="B16" s="80" t="s">
        <v>272</v>
      </c>
      <c r="C16" s="75"/>
      <c r="D16" s="260"/>
    </row>
    <row r="17" spans="1:4" s="108" customFormat="1" ht="18">
      <c r="A17" s="78">
        <v>5</v>
      </c>
      <c r="B17" s="80" t="s">
        <v>273</v>
      </c>
      <c r="C17" s="78"/>
      <c r="D17" s="270"/>
    </row>
    <row r="18" spans="1:4" s="108" customFormat="1" ht="18">
      <c r="A18" s="78">
        <v>6</v>
      </c>
      <c r="B18" s="80" t="s">
        <v>274</v>
      </c>
      <c r="C18" s="75"/>
      <c r="D18" s="322">
        <v>65025</v>
      </c>
    </row>
    <row r="19" spans="1:6" ht="18">
      <c r="A19" s="78">
        <v>7</v>
      </c>
      <c r="B19" s="80" t="s">
        <v>275</v>
      </c>
      <c r="C19" s="78" t="s">
        <v>440</v>
      </c>
      <c r="D19" s="322">
        <v>80600</v>
      </c>
      <c r="F19" s="1" t="s">
        <v>436</v>
      </c>
    </row>
    <row r="20" spans="1:4" s="108" customFormat="1" ht="18">
      <c r="A20" s="78">
        <v>8</v>
      </c>
      <c r="B20" s="80" t="s">
        <v>277</v>
      </c>
      <c r="C20" s="75"/>
      <c r="D20" s="260">
        <f>D23+D25+D26+D27</f>
        <v>78931</v>
      </c>
    </row>
    <row r="21" spans="1:4" ht="18">
      <c r="A21" s="78"/>
      <c r="B21" s="80" t="s">
        <v>276</v>
      </c>
      <c r="C21" s="78"/>
      <c r="D21" s="260"/>
    </row>
    <row r="22" spans="1:4" ht="18">
      <c r="A22" s="202"/>
      <c r="B22" s="80" t="s">
        <v>239</v>
      </c>
      <c r="C22" s="78"/>
      <c r="D22" s="260"/>
    </row>
    <row r="23" spans="1:4" ht="22.5" customHeight="1">
      <c r="A23" s="202"/>
      <c r="B23" s="80" t="s">
        <v>240</v>
      </c>
      <c r="C23" s="78"/>
      <c r="D23" s="260">
        <v>5000</v>
      </c>
    </row>
    <row r="24" spans="1:4" ht="18">
      <c r="A24" s="202"/>
      <c r="B24" s="80" t="s">
        <v>241</v>
      </c>
      <c r="C24" s="78"/>
      <c r="D24" s="260"/>
    </row>
    <row r="25" spans="1:4" ht="18">
      <c r="A25" s="202"/>
      <c r="B25" s="80" t="s">
        <v>242</v>
      </c>
      <c r="C25" s="78" t="s">
        <v>437</v>
      </c>
      <c r="D25" s="260">
        <v>38246</v>
      </c>
    </row>
    <row r="26" spans="1:4" ht="18">
      <c r="A26" s="201"/>
      <c r="B26" s="80" t="s">
        <v>243</v>
      </c>
      <c r="C26" s="78" t="s">
        <v>437</v>
      </c>
      <c r="D26" s="260">
        <v>30000</v>
      </c>
    </row>
    <row r="27" spans="1:4" ht="18">
      <c r="A27" s="201"/>
      <c r="B27" s="80" t="s">
        <v>244</v>
      </c>
      <c r="C27" s="78" t="s">
        <v>437</v>
      </c>
      <c r="D27" s="260">
        <v>5685</v>
      </c>
    </row>
    <row r="28" spans="1:4" ht="18" hidden="1">
      <c r="A28" s="201"/>
      <c r="B28" s="80"/>
      <c r="C28" s="78"/>
      <c r="D28" s="260"/>
    </row>
    <row r="29" spans="1:4" ht="18" hidden="1">
      <c r="A29" s="201"/>
      <c r="B29" s="80"/>
      <c r="C29" s="78"/>
      <c r="D29" s="260"/>
    </row>
    <row r="30" spans="1:4" ht="18" hidden="1">
      <c r="A30" s="201"/>
      <c r="B30" s="79"/>
      <c r="C30" s="78"/>
      <c r="D30" s="260"/>
    </row>
    <row r="31" spans="1:4" s="108" customFormat="1" ht="17.25">
      <c r="A31" s="75"/>
      <c r="B31" s="77" t="s">
        <v>145</v>
      </c>
      <c r="C31" s="100" t="s">
        <v>144</v>
      </c>
      <c r="D31" s="247">
        <f>SUM(D13:D20)</f>
        <v>2104743</v>
      </c>
    </row>
    <row r="32" spans="1:4" ht="18">
      <c r="A32" s="128"/>
      <c r="B32" s="3"/>
      <c r="C32" s="3"/>
      <c r="D32" s="3"/>
    </row>
    <row r="33" spans="1:4" s="140" customFormat="1" ht="18.75" customHeight="1">
      <c r="A33" s="184"/>
      <c r="B33" s="186"/>
      <c r="C33" s="183"/>
      <c r="D33" s="9"/>
    </row>
    <row r="34" spans="1:4" s="140" customFormat="1" ht="18.75" customHeight="1">
      <c r="A34" s="188" t="s">
        <v>589</v>
      </c>
      <c r="B34" s="187"/>
      <c r="C34" s="199"/>
      <c r="D34" s="3" t="s">
        <v>753</v>
      </c>
    </row>
    <row r="35" spans="1:4" s="140" customFormat="1" ht="18.75" customHeight="1">
      <c r="A35" s="45" t="s">
        <v>606</v>
      </c>
      <c r="B35" s="183"/>
      <c r="C35" s="185"/>
      <c r="D35" s="3" t="s">
        <v>402</v>
      </c>
    </row>
    <row r="36" spans="1:4" s="140" customFormat="1" ht="18">
      <c r="A36" s="183"/>
      <c r="B36" s="183"/>
      <c r="C36" s="183"/>
      <c r="D36" s="3"/>
    </row>
    <row r="37" spans="1:4" s="140" customFormat="1" ht="18">
      <c r="A37" s="183" t="s">
        <v>408</v>
      </c>
      <c r="B37" s="183"/>
      <c r="C37" s="199"/>
      <c r="D37" s="3" t="s">
        <v>591</v>
      </c>
    </row>
    <row r="38" spans="1:4" ht="18.75" customHeight="1">
      <c r="A38" s="45" t="s">
        <v>606</v>
      </c>
      <c r="B38" s="183"/>
      <c r="C38" s="185"/>
      <c r="D38" s="3" t="s">
        <v>402</v>
      </c>
    </row>
    <row r="39" spans="1:4" ht="18">
      <c r="A39" s="183"/>
      <c r="B39" s="183"/>
      <c r="C39" s="183"/>
      <c r="D39" s="183"/>
    </row>
    <row r="40" spans="1:4" ht="18">
      <c r="A40" s="185"/>
      <c r="B40" s="183"/>
      <c r="C40" s="183"/>
      <c r="D40" s="183"/>
    </row>
  </sheetData>
  <sheetProtection/>
  <mergeCells count="9">
    <mergeCell ref="A3:D3"/>
    <mergeCell ref="A4:D4"/>
    <mergeCell ref="A5:D5"/>
    <mergeCell ref="A6:D6"/>
    <mergeCell ref="A7:D7"/>
    <mergeCell ref="A9:A11"/>
    <mergeCell ref="B9:B11"/>
    <mergeCell ref="C9:C11"/>
    <mergeCell ref="D9:D11"/>
  </mergeCells>
  <printOptions/>
  <pageMargins left="0.7086614173228347" right="0.2" top="0.36" bottom="0.24" header="0.31496062992125984" footer="0.18"/>
  <pageSetup fitToHeight="1" fitToWidth="1" horizontalDpi="600" verticalDpi="600" orientation="landscape" paperSize="9" scale="81" r:id="rId1"/>
  <rowBreaks count="1" manualBreakCount="1">
    <brk id="30" max="3" man="1"/>
  </rowBreaks>
  <colBreaks count="1" manualBreakCount="1">
    <brk id="3" max="3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R41"/>
  <sheetViews>
    <sheetView view="pageBreakPreview" zoomScale="60" zoomScalePageLayoutView="0" workbookViewId="0" topLeftCell="A13">
      <selection activeCell="F37" sqref="F37"/>
    </sheetView>
  </sheetViews>
  <sheetFormatPr defaultColWidth="9.140625" defaultRowHeight="15"/>
  <cols>
    <col min="1" max="1" width="5.00390625" style="131" customWidth="1"/>
    <col min="2" max="2" width="52.7109375" style="131" customWidth="1"/>
    <col min="3" max="3" width="14.00390625" style="131" customWidth="1"/>
    <col min="4" max="7" width="13.28125" style="131" customWidth="1"/>
    <col min="8" max="8" width="13.7109375" style="131" customWidth="1"/>
    <col min="9" max="9" width="14.421875" style="131" customWidth="1"/>
    <col min="10" max="10" width="18.421875" style="131" customWidth="1"/>
    <col min="11" max="11" width="13.28125" style="131" customWidth="1"/>
    <col min="12" max="17" width="9.140625" style="131" customWidth="1"/>
    <col min="18" max="18" width="14.140625" style="131" bestFit="1" customWidth="1"/>
    <col min="19" max="16384" width="9.140625" style="131" customWidth="1"/>
  </cols>
  <sheetData>
    <row r="1" spans="1:11" s="70" customFormat="1" ht="16.5" customHeight="1">
      <c r="A1" s="3"/>
      <c r="B1" s="99"/>
      <c r="C1" s="230"/>
      <c r="D1" s="230"/>
      <c r="E1" s="230"/>
      <c r="K1" s="11" t="s">
        <v>159</v>
      </c>
    </row>
    <row r="2" spans="1:11" s="70" customFormat="1" ht="18.75" customHeight="1">
      <c r="A2" s="3"/>
      <c r="B2" s="99"/>
      <c r="C2" s="230"/>
      <c r="D2" s="230"/>
      <c r="E2" s="230"/>
      <c r="K2" s="9" t="s">
        <v>31</v>
      </c>
    </row>
    <row r="3" spans="1:11" s="70" customFormat="1" ht="18.75" customHeight="1">
      <c r="A3" s="3"/>
      <c r="B3" s="99"/>
      <c r="C3" s="230"/>
      <c r="D3" s="230"/>
      <c r="E3" s="230"/>
      <c r="K3" s="9" t="s">
        <v>32</v>
      </c>
    </row>
    <row r="4" spans="1:11" s="70" customFormat="1" ht="18.75" customHeight="1">
      <c r="A4" s="3"/>
      <c r="B4" s="99"/>
      <c r="C4" s="230"/>
      <c r="D4" s="230"/>
      <c r="E4" s="230"/>
      <c r="K4" s="9" t="s">
        <v>14</v>
      </c>
    </row>
    <row r="5" spans="1:11" s="70" customFormat="1" ht="18.75" customHeight="1">
      <c r="A5" s="3"/>
      <c r="B5" s="99"/>
      <c r="C5" s="230"/>
      <c r="D5" s="230"/>
      <c r="E5" s="230"/>
      <c r="K5" s="9" t="s">
        <v>15</v>
      </c>
    </row>
    <row r="6" spans="1:11" s="70" customFormat="1" ht="18.75" customHeight="1">
      <c r="A6" s="3"/>
      <c r="B6" s="99"/>
      <c r="C6" s="230"/>
      <c r="D6" s="230"/>
      <c r="E6" s="230"/>
      <c r="K6" s="9" t="s">
        <v>16</v>
      </c>
    </row>
    <row r="7" spans="1:11" s="70" customFormat="1" ht="18.75" customHeight="1">
      <c r="A7" s="3"/>
      <c r="B7" s="99"/>
      <c r="C7" s="230"/>
      <c r="D7" s="230"/>
      <c r="E7" s="230"/>
      <c r="K7" s="231" t="s">
        <v>17</v>
      </c>
    </row>
    <row r="8" spans="1:12" s="70" customFormat="1" ht="14.25" customHeight="1">
      <c r="A8" s="3"/>
      <c r="B8" s="99"/>
      <c r="C8" s="230"/>
      <c r="D8" s="230"/>
      <c r="E8" s="230"/>
      <c r="F8" s="230"/>
      <c r="L8" s="74"/>
    </row>
    <row r="9" spans="1:12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1" t="s">
        <v>302</v>
      </c>
      <c r="L9" s="130"/>
    </row>
    <row r="10" spans="1:12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28.5" customHeight="1">
      <c r="A11" s="630" t="s">
        <v>303</v>
      </c>
      <c r="B11" s="631"/>
      <c r="C11" s="631"/>
      <c r="D11" s="631"/>
      <c r="E11" s="631"/>
      <c r="F11" s="631"/>
      <c r="G11" s="631"/>
      <c r="H11" s="631"/>
      <c r="I11" s="631"/>
      <c r="J11" s="631"/>
      <c r="K11" s="129"/>
      <c r="L11" s="130"/>
    </row>
    <row r="12" spans="1:12" ht="28.5" customHeight="1">
      <c r="A12" s="146"/>
      <c r="B12" s="632" t="s">
        <v>609</v>
      </c>
      <c r="C12" s="632"/>
      <c r="D12" s="632"/>
      <c r="E12" s="632"/>
      <c r="F12" s="632"/>
      <c r="G12" s="632"/>
      <c r="H12" s="632"/>
      <c r="I12" s="632"/>
      <c r="J12" s="632"/>
      <c r="K12" s="632"/>
      <c r="L12" s="130"/>
    </row>
    <row r="13" spans="1:12" ht="19.5" customHeight="1">
      <c r="A13" s="146"/>
      <c r="B13" s="633" t="s">
        <v>346</v>
      </c>
      <c r="C13" s="633"/>
      <c r="D13" s="633"/>
      <c r="E13" s="633"/>
      <c r="F13" s="633"/>
      <c r="G13" s="633"/>
      <c r="H13" s="633"/>
      <c r="I13" s="633"/>
      <c r="J13" s="633"/>
      <c r="K13" s="633"/>
      <c r="L13" s="130"/>
    </row>
    <row r="14" spans="1:11" s="70" customFormat="1" ht="42" customHeight="1">
      <c r="A14" s="84"/>
      <c r="B14" s="645" t="s">
        <v>610</v>
      </c>
      <c r="C14" s="645"/>
      <c r="D14" s="645"/>
      <c r="E14" s="645"/>
      <c r="F14" s="645"/>
      <c r="G14" s="645"/>
      <c r="H14" s="645"/>
      <c r="I14" s="645"/>
      <c r="J14" s="645"/>
      <c r="K14" s="645"/>
    </row>
    <row r="15" spans="1:11" s="70" customFormat="1" ht="24.75" customHeight="1">
      <c r="A15" s="84"/>
      <c r="B15" s="646" t="s">
        <v>252</v>
      </c>
      <c r="C15" s="646"/>
      <c r="D15" s="646"/>
      <c r="E15" s="646"/>
      <c r="F15" s="646"/>
      <c r="G15" s="646"/>
      <c r="H15" s="646"/>
      <c r="I15" s="646"/>
      <c r="J15" s="646"/>
      <c r="K15" s="646"/>
    </row>
    <row r="16" spans="1:12" ht="6.75" customHeight="1">
      <c r="A16" s="132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31.5" customHeight="1">
      <c r="A17" s="634" t="s">
        <v>157</v>
      </c>
      <c r="B17" s="634" t="s">
        <v>279</v>
      </c>
      <c r="C17" s="634" t="s">
        <v>280</v>
      </c>
      <c r="D17" s="636" t="s">
        <v>281</v>
      </c>
      <c r="E17" s="637"/>
      <c r="F17" s="637"/>
      <c r="G17" s="638"/>
      <c r="H17" s="634" t="s">
        <v>298</v>
      </c>
      <c r="I17" s="634" t="s">
        <v>297</v>
      </c>
      <c r="J17" s="639" t="s">
        <v>299</v>
      </c>
      <c r="K17" s="641" t="s">
        <v>294</v>
      </c>
      <c r="L17" s="130"/>
    </row>
    <row r="18" spans="1:12" ht="17.25">
      <c r="A18" s="635"/>
      <c r="B18" s="635"/>
      <c r="C18" s="635"/>
      <c r="D18" s="634" t="s">
        <v>95</v>
      </c>
      <c r="E18" s="636" t="s">
        <v>301</v>
      </c>
      <c r="F18" s="637"/>
      <c r="G18" s="638"/>
      <c r="H18" s="635"/>
      <c r="I18" s="635"/>
      <c r="J18" s="640"/>
      <c r="K18" s="642"/>
      <c r="L18" s="130"/>
    </row>
    <row r="19" spans="1:12" ht="73.5" customHeight="1">
      <c r="A19" s="635"/>
      <c r="B19" s="635"/>
      <c r="C19" s="635"/>
      <c r="D19" s="635"/>
      <c r="E19" s="147" t="s">
        <v>282</v>
      </c>
      <c r="F19" s="147" t="s">
        <v>283</v>
      </c>
      <c r="G19" s="147" t="s">
        <v>284</v>
      </c>
      <c r="H19" s="635"/>
      <c r="I19" s="635"/>
      <c r="J19" s="640"/>
      <c r="K19" s="642"/>
      <c r="L19" s="130"/>
    </row>
    <row r="20" spans="1:11" s="139" customFormat="1" ht="39" customHeight="1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 t="s">
        <v>300</v>
      </c>
      <c r="K20" s="138">
        <v>11</v>
      </c>
    </row>
    <row r="21" spans="1:12" ht="18">
      <c r="A21" s="154">
        <v>1</v>
      </c>
      <c r="B21" s="155" t="s">
        <v>285</v>
      </c>
      <c r="C21" s="156"/>
      <c r="D21" s="156">
        <f>E21+F21+G21</f>
        <v>0</v>
      </c>
      <c r="E21" s="156"/>
      <c r="F21" s="156"/>
      <c r="G21" s="156"/>
      <c r="H21" s="156"/>
      <c r="I21" s="156">
        <v>0</v>
      </c>
      <c r="J21" s="156">
        <f aca="true" t="shared" si="0" ref="J21:J31">D21*12+H21+I21</f>
        <v>0</v>
      </c>
      <c r="K21" s="133"/>
      <c r="L21" s="130"/>
    </row>
    <row r="22" spans="1:12" ht="18">
      <c r="A22" s="154">
        <f aca="true" t="shared" si="1" ref="A22:A31">A21+1</f>
        <v>2</v>
      </c>
      <c r="B22" s="155" t="s">
        <v>286</v>
      </c>
      <c r="C22" s="156"/>
      <c r="D22" s="156">
        <f aca="true" t="shared" si="2" ref="D22:D31">E22+F22+G22</f>
        <v>0</v>
      </c>
      <c r="E22" s="156"/>
      <c r="F22" s="156"/>
      <c r="G22" s="156"/>
      <c r="H22" s="156"/>
      <c r="I22" s="156">
        <v>0</v>
      </c>
      <c r="J22" s="156">
        <f t="shared" si="0"/>
        <v>0</v>
      </c>
      <c r="K22" s="133"/>
      <c r="L22" s="130"/>
    </row>
    <row r="23" spans="1:12" ht="18">
      <c r="A23" s="154">
        <f t="shared" si="1"/>
        <v>3</v>
      </c>
      <c r="B23" s="155" t="s">
        <v>287</v>
      </c>
      <c r="C23" s="156"/>
      <c r="D23" s="156">
        <f t="shared" si="2"/>
        <v>0</v>
      </c>
      <c r="E23" s="156"/>
      <c r="F23" s="156"/>
      <c r="G23" s="156"/>
      <c r="H23" s="156"/>
      <c r="I23" s="156">
        <v>0</v>
      </c>
      <c r="J23" s="156">
        <f t="shared" si="0"/>
        <v>0</v>
      </c>
      <c r="K23" s="133"/>
      <c r="L23" s="130"/>
    </row>
    <row r="24" spans="1:12" ht="45.75" customHeight="1">
      <c r="A24" s="154">
        <f t="shared" si="1"/>
        <v>4</v>
      </c>
      <c r="B24" s="157" t="s">
        <v>343</v>
      </c>
      <c r="C24" s="156"/>
      <c r="D24" s="156">
        <f t="shared" si="2"/>
        <v>0</v>
      </c>
      <c r="E24" s="156"/>
      <c r="F24" s="156"/>
      <c r="G24" s="156"/>
      <c r="H24" s="156"/>
      <c r="I24" s="156"/>
      <c r="J24" s="156">
        <f t="shared" si="0"/>
        <v>0</v>
      </c>
      <c r="K24" s="133"/>
      <c r="L24" s="130"/>
    </row>
    <row r="25" spans="1:12" ht="18">
      <c r="A25" s="154">
        <f t="shared" si="1"/>
        <v>5</v>
      </c>
      <c r="B25" s="157" t="s">
        <v>288</v>
      </c>
      <c r="C25" s="156"/>
      <c r="D25" s="156">
        <f t="shared" si="2"/>
        <v>0</v>
      </c>
      <c r="E25" s="156"/>
      <c r="F25" s="156"/>
      <c r="G25" s="156"/>
      <c r="H25" s="156"/>
      <c r="I25" s="156"/>
      <c r="J25" s="156">
        <f t="shared" si="0"/>
        <v>0</v>
      </c>
      <c r="K25" s="133"/>
      <c r="L25" s="130"/>
    </row>
    <row r="26" spans="1:12" ht="54.75" customHeight="1">
      <c r="A26" s="154">
        <f t="shared" si="1"/>
        <v>6</v>
      </c>
      <c r="B26" s="157" t="s">
        <v>289</v>
      </c>
      <c r="C26" s="156"/>
      <c r="D26" s="156">
        <f t="shared" si="2"/>
        <v>0</v>
      </c>
      <c r="E26" s="156"/>
      <c r="F26" s="156"/>
      <c r="G26" s="156"/>
      <c r="H26" s="156"/>
      <c r="I26" s="156"/>
      <c r="J26" s="156">
        <f t="shared" si="0"/>
        <v>0</v>
      </c>
      <c r="K26" s="133"/>
      <c r="L26" s="130"/>
    </row>
    <row r="27" spans="1:12" ht="18">
      <c r="A27" s="154">
        <f t="shared" si="1"/>
        <v>7</v>
      </c>
      <c r="B27" s="157" t="s">
        <v>290</v>
      </c>
      <c r="C27" s="156"/>
      <c r="D27" s="156">
        <f t="shared" si="2"/>
        <v>0</v>
      </c>
      <c r="E27" s="156"/>
      <c r="F27" s="156"/>
      <c r="G27" s="156"/>
      <c r="H27" s="156"/>
      <c r="I27" s="156"/>
      <c r="J27" s="156">
        <f t="shared" si="0"/>
        <v>0</v>
      </c>
      <c r="K27" s="133"/>
      <c r="L27" s="130"/>
    </row>
    <row r="28" spans="1:12" ht="18">
      <c r="A28" s="154">
        <f t="shared" si="1"/>
        <v>8</v>
      </c>
      <c r="B28" s="157" t="s">
        <v>245</v>
      </c>
      <c r="C28" s="156"/>
      <c r="D28" s="156">
        <f t="shared" si="2"/>
        <v>0</v>
      </c>
      <c r="E28" s="156"/>
      <c r="F28" s="156"/>
      <c r="G28" s="156"/>
      <c r="H28" s="156"/>
      <c r="I28" s="156">
        <v>0</v>
      </c>
      <c r="J28" s="156">
        <f t="shared" si="0"/>
        <v>0</v>
      </c>
      <c r="K28" s="133"/>
      <c r="L28" s="130"/>
    </row>
    <row r="29" spans="1:12" ht="19.5" customHeight="1" hidden="1">
      <c r="A29" s="154">
        <f t="shared" si="1"/>
        <v>9</v>
      </c>
      <c r="B29" s="157" t="s">
        <v>291</v>
      </c>
      <c r="C29" s="156"/>
      <c r="D29" s="156">
        <f t="shared" si="2"/>
        <v>0</v>
      </c>
      <c r="E29" s="156"/>
      <c r="F29" s="156"/>
      <c r="G29" s="156"/>
      <c r="H29" s="156"/>
      <c r="I29" s="156"/>
      <c r="J29" s="156">
        <f t="shared" si="0"/>
        <v>0</v>
      </c>
      <c r="K29" s="133"/>
      <c r="L29" s="130"/>
    </row>
    <row r="30" spans="1:12" ht="18" hidden="1">
      <c r="A30" s="154">
        <f t="shared" si="1"/>
        <v>10</v>
      </c>
      <c r="B30" s="157" t="s">
        <v>292</v>
      </c>
      <c r="C30" s="156"/>
      <c r="D30" s="156">
        <f t="shared" si="2"/>
        <v>0</v>
      </c>
      <c r="E30" s="156"/>
      <c r="F30" s="156"/>
      <c r="G30" s="156"/>
      <c r="H30" s="156"/>
      <c r="I30" s="156"/>
      <c r="J30" s="156">
        <f t="shared" si="0"/>
        <v>0</v>
      </c>
      <c r="K30" s="133"/>
      <c r="L30" s="130"/>
    </row>
    <row r="31" spans="1:12" ht="21" customHeight="1">
      <c r="A31" s="154">
        <f t="shared" si="1"/>
        <v>11</v>
      </c>
      <c r="B31" s="157" t="s">
        <v>293</v>
      </c>
      <c r="C31" s="156"/>
      <c r="D31" s="156">
        <f t="shared" si="2"/>
        <v>0</v>
      </c>
      <c r="E31" s="156"/>
      <c r="F31" s="156"/>
      <c r="G31" s="156"/>
      <c r="H31" s="156"/>
      <c r="I31" s="156">
        <v>0</v>
      </c>
      <c r="J31" s="156">
        <f t="shared" si="0"/>
        <v>0</v>
      </c>
      <c r="K31" s="133"/>
      <c r="L31" s="130"/>
    </row>
    <row r="32" spans="1:14" s="136" customFormat="1" ht="18">
      <c r="A32" s="643" t="s">
        <v>145</v>
      </c>
      <c r="B32" s="643"/>
      <c r="C32" s="134">
        <f>SUM(C21:C31)</f>
        <v>0</v>
      </c>
      <c r="D32" s="134">
        <f aca="true" t="shared" si="3" ref="D32:J32">SUM(D21:D31)</f>
        <v>0</v>
      </c>
      <c r="E32" s="134">
        <f t="shared" si="3"/>
        <v>0</v>
      </c>
      <c r="F32" s="134">
        <f t="shared" si="3"/>
        <v>0</v>
      </c>
      <c r="G32" s="134">
        <f t="shared" si="3"/>
        <v>0</v>
      </c>
      <c r="H32" s="134">
        <f t="shared" si="3"/>
        <v>0</v>
      </c>
      <c r="I32" s="134">
        <f t="shared" si="3"/>
        <v>0</v>
      </c>
      <c r="J32" s="134">
        <f t="shared" si="3"/>
        <v>0</v>
      </c>
      <c r="K32" s="133"/>
      <c r="L32" s="135"/>
      <c r="N32" s="277"/>
    </row>
    <row r="33" spans="1:12" ht="7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ht="15">
      <c r="B34" s="137" t="s">
        <v>295</v>
      </c>
    </row>
    <row r="35" ht="15">
      <c r="B35" s="137" t="s">
        <v>296</v>
      </c>
    </row>
    <row r="36" spans="2:18" ht="39" customHeight="1">
      <c r="B36" s="673" t="s">
        <v>468</v>
      </c>
      <c r="C36" s="673"/>
      <c r="D36" s="673"/>
      <c r="E36" s="673"/>
      <c r="F36" s="673"/>
      <c r="G36" s="673"/>
      <c r="H36" s="673"/>
      <c r="I36" s="673"/>
      <c r="J36" s="673"/>
      <c r="K36" s="673"/>
      <c r="O36" s="280"/>
      <c r="R36" s="278"/>
    </row>
    <row r="37" spans="2:18" s="129" customFormat="1" ht="32.25" customHeight="1">
      <c r="B37" s="129" t="s">
        <v>589</v>
      </c>
      <c r="E37" s="129" t="s">
        <v>753</v>
      </c>
      <c r="H37" s="3"/>
      <c r="R37" s="279"/>
    </row>
    <row r="38" spans="2:8" s="129" customFormat="1" ht="18">
      <c r="B38" s="137" t="s">
        <v>606</v>
      </c>
      <c r="E38" s="129" t="s">
        <v>402</v>
      </c>
      <c r="H38" s="3"/>
    </row>
    <row r="39" ht="18">
      <c r="H39" s="3"/>
    </row>
    <row r="40" spans="2:8" s="129" customFormat="1" ht="18">
      <c r="B40" s="129" t="s">
        <v>408</v>
      </c>
      <c r="E40" s="129" t="s">
        <v>591</v>
      </c>
      <c r="H40" s="3"/>
    </row>
    <row r="41" spans="2:8" s="129" customFormat="1" ht="18">
      <c r="B41" s="137" t="s">
        <v>606</v>
      </c>
      <c r="E41" s="129" t="s">
        <v>402</v>
      </c>
      <c r="H41" s="3"/>
    </row>
  </sheetData>
  <sheetProtection/>
  <mergeCells count="17">
    <mergeCell ref="A11:J11"/>
    <mergeCell ref="B12:K12"/>
    <mergeCell ref="B13:K13"/>
    <mergeCell ref="B14:K14"/>
    <mergeCell ref="B15:K15"/>
    <mergeCell ref="A17:A19"/>
    <mergeCell ref="B17:B19"/>
    <mergeCell ref="C17:C19"/>
    <mergeCell ref="D17:G17"/>
    <mergeCell ref="H17:H19"/>
    <mergeCell ref="B36:K36"/>
    <mergeCell ref="I17:I19"/>
    <mergeCell ref="J17:J19"/>
    <mergeCell ref="K17:K19"/>
    <mergeCell ref="D18:D19"/>
    <mergeCell ref="E18:G18"/>
    <mergeCell ref="A32:B32"/>
  </mergeCells>
  <printOptions/>
  <pageMargins left="0.1968503937007874" right="0.1968503937007874" top="0.7086614173228347" bottom="0.1968503937007874" header="0.6299212598425197" footer="0.35433070866141736"/>
  <pageSetup fitToHeight="2" horizontalDpi="600" verticalDpi="600" orientation="landscape" paperSize="9" scale="5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R50"/>
  <sheetViews>
    <sheetView view="pageBreakPreview" zoomScale="60" zoomScalePageLayoutView="0" workbookViewId="0" topLeftCell="B19">
      <selection activeCell="F36" sqref="F36"/>
    </sheetView>
  </sheetViews>
  <sheetFormatPr defaultColWidth="9.140625" defaultRowHeight="15"/>
  <cols>
    <col min="1" max="1" width="5.00390625" style="131" customWidth="1"/>
    <col min="2" max="2" width="53.28125" style="131" customWidth="1"/>
    <col min="3" max="3" width="14.00390625" style="131" customWidth="1"/>
    <col min="4" max="7" width="13.28125" style="131" customWidth="1"/>
    <col min="8" max="8" width="13.7109375" style="131" customWidth="1"/>
    <col min="9" max="9" width="14.421875" style="131" customWidth="1"/>
    <col min="10" max="10" width="18.421875" style="131" customWidth="1"/>
    <col min="11" max="11" width="13.28125" style="131" customWidth="1"/>
    <col min="12" max="12" width="9.140625" style="131" customWidth="1"/>
    <col min="13" max="13" width="19.57421875" style="131" customWidth="1"/>
    <col min="14" max="15" width="9.140625" style="131" customWidth="1"/>
    <col min="16" max="16" width="37.57421875" style="131" customWidth="1"/>
    <col min="17" max="17" width="9.140625" style="131" customWidth="1"/>
    <col min="18" max="18" width="24.00390625" style="131" customWidth="1"/>
    <col min="19" max="16384" width="9.140625" style="131" customWidth="1"/>
  </cols>
  <sheetData>
    <row r="1" spans="1:11" s="70" customFormat="1" ht="16.5" customHeight="1">
      <c r="A1" s="3"/>
      <c r="B1" s="99"/>
      <c r="C1" s="267"/>
      <c r="D1" s="267"/>
      <c r="E1" s="267"/>
      <c r="K1" s="11" t="s">
        <v>159</v>
      </c>
    </row>
    <row r="2" spans="1:11" s="70" customFormat="1" ht="18.75" customHeight="1">
      <c r="A2" s="3"/>
      <c r="B2" s="99"/>
      <c r="C2" s="267"/>
      <c r="D2" s="267"/>
      <c r="E2" s="267"/>
      <c r="K2" s="9" t="s">
        <v>31</v>
      </c>
    </row>
    <row r="3" spans="1:11" s="70" customFormat="1" ht="18.75" customHeight="1">
      <c r="A3" s="3"/>
      <c r="B3" s="99"/>
      <c r="C3" s="267"/>
      <c r="D3" s="267"/>
      <c r="E3" s="267"/>
      <c r="K3" s="9" t="s">
        <v>32</v>
      </c>
    </row>
    <row r="4" spans="1:11" s="70" customFormat="1" ht="18.75" customHeight="1">
      <c r="A4" s="3"/>
      <c r="B4" s="99"/>
      <c r="C4" s="267"/>
      <c r="D4" s="267"/>
      <c r="E4" s="267"/>
      <c r="K4" s="9" t="s">
        <v>14</v>
      </c>
    </row>
    <row r="5" spans="1:11" s="70" customFormat="1" ht="18.75" customHeight="1">
      <c r="A5" s="3"/>
      <c r="B5" s="99"/>
      <c r="C5" s="267"/>
      <c r="D5" s="267"/>
      <c r="E5" s="267"/>
      <c r="K5" s="9" t="s">
        <v>15</v>
      </c>
    </row>
    <row r="6" spans="1:11" s="70" customFormat="1" ht="18.75" customHeight="1">
      <c r="A6" s="3"/>
      <c r="B6" s="99"/>
      <c r="C6" s="267"/>
      <c r="D6" s="267"/>
      <c r="E6" s="267"/>
      <c r="K6" s="9" t="s">
        <v>16</v>
      </c>
    </row>
    <row r="7" spans="1:11" s="70" customFormat="1" ht="18.75" customHeight="1">
      <c r="A7" s="3"/>
      <c r="B7" s="99"/>
      <c r="C7" s="267"/>
      <c r="D7" s="267"/>
      <c r="E7" s="267"/>
      <c r="K7" s="266" t="s">
        <v>17</v>
      </c>
    </row>
    <row r="8" spans="1:12" s="70" customFormat="1" ht="14.25" customHeight="1">
      <c r="A8" s="3"/>
      <c r="B8" s="99"/>
      <c r="C8" s="267"/>
      <c r="D8" s="267"/>
      <c r="E8" s="267"/>
      <c r="F8" s="267"/>
      <c r="L8" s="74"/>
    </row>
    <row r="9" spans="1:12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1" t="s">
        <v>302</v>
      </c>
      <c r="L9" s="130"/>
    </row>
    <row r="10" spans="1:12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28.5" customHeight="1">
      <c r="A11" s="630" t="s">
        <v>303</v>
      </c>
      <c r="B11" s="631"/>
      <c r="C11" s="631"/>
      <c r="D11" s="631"/>
      <c r="E11" s="631"/>
      <c r="F11" s="631"/>
      <c r="G11" s="631"/>
      <c r="H11" s="631"/>
      <c r="I11" s="631"/>
      <c r="J11" s="631"/>
      <c r="K11" s="129"/>
      <c r="L11" s="130"/>
    </row>
    <row r="12" spans="1:12" ht="28.5" customHeight="1">
      <c r="A12" s="146"/>
      <c r="B12" s="632" t="s">
        <v>721</v>
      </c>
      <c r="C12" s="632"/>
      <c r="D12" s="632"/>
      <c r="E12" s="632"/>
      <c r="F12" s="632"/>
      <c r="G12" s="632"/>
      <c r="H12" s="632"/>
      <c r="I12" s="632"/>
      <c r="J12" s="632"/>
      <c r="K12" s="632"/>
      <c r="L12" s="130"/>
    </row>
    <row r="13" spans="1:12" ht="19.5" customHeight="1">
      <c r="A13" s="146"/>
      <c r="B13" s="633" t="s">
        <v>346</v>
      </c>
      <c r="C13" s="633"/>
      <c r="D13" s="633"/>
      <c r="E13" s="633"/>
      <c r="F13" s="633"/>
      <c r="G13" s="633"/>
      <c r="H13" s="633"/>
      <c r="I13" s="633"/>
      <c r="J13" s="633"/>
      <c r="K13" s="633"/>
      <c r="L13" s="130"/>
    </row>
    <row r="14" spans="1:11" s="70" customFormat="1" ht="42.75" customHeight="1">
      <c r="A14" s="84"/>
      <c r="B14" s="661" t="s">
        <v>720</v>
      </c>
      <c r="C14" s="661"/>
      <c r="D14" s="661"/>
      <c r="E14" s="661"/>
      <c r="F14" s="661"/>
      <c r="G14" s="661"/>
      <c r="H14" s="661"/>
      <c r="I14" s="661"/>
      <c r="J14" s="661"/>
      <c r="K14" s="661"/>
    </row>
    <row r="15" spans="1:11" s="70" customFormat="1" ht="24.75" customHeight="1">
      <c r="A15" s="84"/>
      <c r="B15" s="646" t="s">
        <v>252</v>
      </c>
      <c r="C15" s="646"/>
      <c r="D15" s="646"/>
      <c r="E15" s="646"/>
      <c r="F15" s="646"/>
      <c r="G15" s="646"/>
      <c r="H15" s="646"/>
      <c r="I15" s="646"/>
      <c r="J15" s="646"/>
      <c r="K15" s="646"/>
    </row>
    <row r="16" spans="1:12" ht="6.75" customHeight="1">
      <c r="A16" s="132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31.5" customHeight="1">
      <c r="A17" s="634" t="s">
        <v>157</v>
      </c>
      <c r="B17" s="634" t="s">
        <v>279</v>
      </c>
      <c r="C17" s="634" t="s">
        <v>280</v>
      </c>
      <c r="D17" s="636" t="s">
        <v>281</v>
      </c>
      <c r="E17" s="637"/>
      <c r="F17" s="637"/>
      <c r="G17" s="638"/>
      <c r="H17" s="634" t="s">
        <v>298</v>
      </c>
      <c r="I17" s="634" t="s">
        <v>297</v>
      </c>
      <c r="J17" s="639" t="s">
        <v>299</v>
      </c>
      <c r="K17" s="641" t="s">
        <v>294</v>
      </c>
      <c r="L17" s="130"/>
    </row>
    <row r="18" spans="1:12" ht="17.25">
      <c r="A18" s="635"/>
      <c r="B18" s="635"/>
      <c r="C18" s="635"/>
      <c r="D18" s="634" t="s">
        <v>95</v>
      </c>
      <c r="E18" s="636" t="s">
        <v>301</v>
      </c>
      <c r="F18" s="637"/>
      <c r="G18" s="638"/>
      <c r="H18" s="635"/>
      <c r="I18" s="635"/>
      <c r="J18" s="640"/>
      <c r="K18" s="642"/>
      <c r="L18" s="130"/>
    </row>
    <row r="19" spans="1:12" ht="73.5" customHeight="1">
      <c r="A19" s="635"/>
      <c r="B19" s="635"/>
      <c r="C19" s="635"/>
      <c r="D19" s="635"/>
      <c r="E19" s="147" t="s">
        <v>282</v>
      </c>
      <c r="F19" s="147" t="s">
        <v>283</v>
      </c>
      <c r="G19" s="147" t="s">
        <v>284</v>
      </c>
      <c r="H19" s="635"/>
      <c r="I19" s="635"/>
      <c r="J19" s="640"/>
      <c r="K19" s="642"/>
      <c r="L19" s="130"/>
    </row>
    <row r="20" spans="1:11" s="139" customFormat="1" ht="39" customHeight="1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 t="s">
        <v>300</v>
      </c>
      <c r="K20" s="138">
        <v>11</v>
      </c>
    </row>
    <row r="21" spans="1:13" ht="18">
      <c r="A21" s="154">
        <v>1</v>
      </c>
      <c r="B21" s="155" t="s">
        <v>285</v>
      </c>
      <c r="C21" s="156"/>
      <c r="D21" s="156">
        <f>E21+F21+G21</f>
        <v>0</v>
      </c>
      <c r="E21" s="156"/>
      <c r="F21" s="156"/>
      <c r="G21" s="156"/>
      <c r="H21" s="156"/>
      <c r="I21" s="156"/>
      <c r="J21" s="156">
        <f aca="true" t="shared" si="0" ref="J21:J30">D21*12+H21+I21</f>
        <v>0</v>
      </c>
      <c r="K21" s="133"/>
      <c r="L21" s="130"/>
      <c r="M21" s="278"/>
    </row>
    <row r="22" spans="1:13" ht="18">
      <c r="A22" s="154">
        <f aca="true" t="shared" si="1" ref="A22:A31">A21+1</f>
        <v>2</v>
      </c>
      <c r="B22" s="155" t="s">
        <v>286</v>
      </c>
      <c r="C22" s="156"/>
      <c r="D22" s="156">
        <f aca="true" t="shared" si="2" ref="D22:D31">E22+F22+G22</f>
        <v>0</v>
      </c>
      <c r="E22" s="156"/>
      <c r="F22" s="156"/>
      <c r="G22" s="156"/>
      <c r="H22" s="156"/>
      <c r="I22" s="156"/>
      <c r="J22" s="156">
        <f t="shared" si="0"/>
        <v>0</v>
      </c>
      <c r="K22" s="133" t="e">
        <f>J22/12/C22</f>
        <v>#DIV/0!</v>
      </c>
      <c r="L22" s="130"/>
      <c r="M22" s="278"/>
    </row>
    <row r="23" spans="1:13" ht="18">
      <c r="A23" s="154">
        <f t="shared" si="1"/>
        <v>3</v>
      </c>
      <c r="B23" s="155" t="s">
        <v>287</v>
      </c>
      <c r="C23" s="156"/>
      <c r="D23" s="156">
        <f t="shared" si="2"/>
        <v>0</v>
      </c>
      <c r="E23" s="156"/>
      <c r="F23" s="156"/>
      <c r="G23" s="156"/>
      <c r="H23" s="156"/>
      <c r="I23" s="156"/>
      <c r="J23" s="156">
        <f>D23*12+H23+I23</f>
        <v>0</v>
      </c>
      <c r="K23" s="133" t="e">
        <f>J23/12/C23</f>
        <v>#DIV/0!</v>
      </c>
      <c r="L23" s="130"/>
      <c r="M23" s="278"/>
    </row>
    <row r="24" spans="1:18" ht="51" customHeight="1">
      <c r="A24" s="154">
        <f t="shared" si="1"/>
        <v>4</v>
      </c>
      <c r="B24" s="157" t="s">
        <v>343</v>
      </c>
      <c r="C24" s="156">
        <v>6.5</v>
      </c>
      <c r="D24" s="156">
        <f t="shared" si="2"/>
        <v>183.26400000000004</v>
      </c>
      <c r="E24" s="156">
        <v>131.372</v>
      </c>
      <c r="F24" s="156">
        <v>32.843</v>
      </c>
      <c r="G24" s="156">
        <v>19.049</v>
      </c>
      <c r="H24" s="156">
        <v>74.07</v>
      </c>
      <c r="I24" s="156">
        <v>394</v>
      </c>
      <c r="J24" s="156">
        <f>D24*12+H24+I24-0.01</f>
        <v>2667.2280000000005</v>
      </c>
      <c r="K24" s="133">
        <f>J24/12/C24</f>
        <v>34.195230769230776</v>
      </c>
      <c r="L24" s="130"/>
      <c r="M24" s="278"/>
      <c r="R24" s="276"/>
    </row>
    <row r="25" spans="1:18" ht="18">
      <c r="A25" s="154">
        <f t="shared" si="1"/>
        <v>5</v>
      </c>
      <c r="B25" s="157" t="s">
        <v>288</v>
      </c>
      <c r="C25" s="156"/>
      <c r="D25" s="156">
        <f t="shared" si="2"/>
        <v>0</v>
      </c>
      <c r="E25" s="156"/>
      <c r="F25" s="156"/>
      <c r="G25" s="156"/>
      <c r="H25" s="156"/>
      <c r="I25" s="156"/>
      <c r="J25" s="156">
        <f t="shared" si="0"/>
        <v>0</v>
      </c>
      <c r="K25" s="133"/>
      <c r="L25" s="130"/>
      <c r="M25" s="278"/>
      <c r="R25" s="276"/>
    </row>
    <row r="26" spans="1:18" ht="57" customHeight="1">
      <c r="A26" s="154">
        <f t="shared" si="1"/>
        <v>6</v>
      </c>
      <c r="B26" s="157" t="s">
        <v>289</v>
      </c>
      <c r="C26" s="156">
        <v>12.5</v>
      </c>
      <c r="D26" s="156">
        <f t="shared" si="2"/>
        <v>219.346</v>
      </c>
      <c r="E26" s="156">
        <v>158.499</v>
      </c>
      <c r="F26" s="156">
        <v>39.625</v>
      </c>
      <c r="G26" s="156">
        <v>21.222</v>
      </c>
      <c r="H26" s="156">
        <v>95.787</v>
      </c>
      <c r="I26" s="156">
        <v>475</v>
      </c>
      <c r="J26" s="156">
        <f t="shared" si="0"/>
        <v>3202.939</v>
      </c>
      <c r="K26" s="133">
        <f>J26/12/C26</f>
        <v>21.35292666666667</v>
      </c>
      <c r="L26" s="130"/>
      <c r="M26" s="278"/>
      <c r="R26" s="276"/>
    </row>
    <row r="27" spans="1:18" ht="18">
      <c r="A27" s="154">
        <f t="shared" si="1"/>
        <v>7</v>
      </c>
      <c r="B27" s="157" t="s">
        <v>290</v>
      </c>
      <c r="C27" s="156">
        <v>0</v>
      </c>
      <c r="D27" s="156">
        <f t="shared" si="2"/>
        <v>0</v>
      </c>
      <c r="E27" s="156">
        <v>0</v>
      </c>
      <c r="F27" s="156"/>
      <c r="G27" s="156">
        <v>0</v>
      </c>
      <c r="H27" s="156"/>
      <c r="I27" s="156"/>
      <c r="J27" s="156">
        <f t="shared" si="0"/>
        <v>0</v>
      </c>
      <c r="K27" s="133"/>
      <c r="L27" s="130"/>
      <c r="M27" s="278"/>
      <c r="R27" s="276"/>
    </row>
    <row r="28" spans="1:18" ht="18">
      <c r="A28" s="154">
        <f t="shared" si="1"/>
        <v>8</v>
      </c>
      <c r="B28" s="157" t="s">
        <v>245</v>
      </c>
      <c r="C28" s="156">
        <v>0</v>
      </c>
      <c r="D28" s="156">
        <f t="shared" si="2"/>
        <v>0</v>
      </c>
      <c r="E28" s="156">
        <v>0</v>
      </c>
      <c r="F28" s="156"/>
      <c r="G28" s="156">
        <v>0</v>
      </c>
      <c r="H28" s="156">
        <v>0</v>
      </c>
      <c r="I28" s="156"/>
      <c r="J28" s="156">
        <f t="shared" si="0"/>
        <v>0</v>
      </c>
      <c r="K28" s="133" t="e">
        <f>J28/12/C28</f>
        <v>#DIV/0!</v>
      </c>
      <c r="L28" s="130"/>
      <c r="M28" s="278"/>
      <c r="P28" s="130"/>
      <c r="R28" s="130"/>
    </row>
    <row r="29" spans="1:18" ht="18" hidden="1">
      <c r="A29" s="154">
        <f t="shared" si="1"/>
        <v>9</v>
      </c>
      <c r="B29" s="157" t="s">
        <v>291</v>
      </c>
      <c r="C29" s="156"/>
      <c r="D29" s="156">
        <f t="shared" si="2"/>
        <v>0</v>
      </c>
      <c r="E29" s="156"/>
      <c r="F29" s="156"/>
      <c r="G29" s="156"/>
      <c r="H29" s="156"/>
      <c r="I29" s="156"/>
      <c r="J29" s="156">
        <f t="shared" si="0"/>
        <v>0</v>
      </c>
      <c r="K29" s="133"/>
      <c r="L29" s="130"/>
      <c r="M29" s="278"/>
      <c r="P29" s="271"/>
      <c r="R29" s="130"/>
    </row>
    <row r="30" spans="1:18" ht="18" hidden="1">
      <c r="A30" s="154">
        <f t="shared" si="1"/>
        <v>10</v>
      </c>
      <c r="B30" s="157" t="s">
        <v>292</v>
      </c>
      <c r="C30" s="156"/>
      <c r="D30" s="156">
        <f t="shared" si="2"/>
        <v>0</v>
      </c>
      <c r="E30" s="156"/>
      <c r="F30" s="156"/>
      <c r="G30" s="156"/>
      <c r="H30" s="156"/>
      <c r="I30" s="156"/>
      <c r="J30" s="156">
        <f t="shared" si="0"/>
        <v>0</v>
      </c>
      <c r="K30" s="133"/>
      <c r="L30" s="130"/>
      <c r="M30" s="278"/>
      <c r="P30" s="271"/>
      <c r="R30" s="130"/>
    </row>
    <row r="31" spans="1:18" ht="30" customHeight="1">
      <c r="A31" s="154">
        <f t="shared" si="1"/>
        <v>11</v>
      </c>
      <c r="B31" s="157" t="s">
        <v>293</v>
      </c>
      <c r="C31" s="156">
        <v>2.75</v>
      </c>
      <c r="D31" s="156">
        <f t="shared" si="2"/>
        <v>24.286</v>
      </c>
      <c r="E31" s="156">
        <v>22.573</v>
      </c>
      <c r="F31" s="156">
        <v>0</v>
      </c>
      <c r="G31" s="156">
        <v>1.713</v>
      </c>
      <c r="H31" s="156">
        <v>4.482</v>
      </c>
      <c r="I31" s="156"/>
      <c r="J31" s="156">
        <f>D31*12+H31+I31</f>
        <v>295.91400000000004</v>
      </c>
      <c r="K31" s="133">
        <f>J31/12/C31</f>
        <v>8.967090909090912</v>
      </c>
      <c r="L31" s="130"/>
      <c r="M31" s="278">
        <v>435</v>
      </c>
      <c r="R31" s="276"/>
    </row>
    <row r="32" spans="1:18" s="136" customFormat="1" ht="18">
      <c r="A32" s="643" t="s">
        <v>145</v>
      </c>
      <c r="B32" s="643"/>
      <c r="C32" s="134">
        <f>SUM(C21:C31)</f>
        <v>21.75</v>
      </c>
      <c r="D32" s="134">
        <f aca="true" t="shared" si="3" ref="D32:I32">SUM(D21:D31)</f>
        <v>426.896</v>
      </c>
      <c r="E32" s="134">
        <f t="shared" si="3"/>
        <v>312.44399999999996</v>
      </c>
      <c r="F32" s="134">
        <f t="shared" si="3"/>
        <v>72.468</v>
      </c>
      <c r="G32" s="134">
        <f t="shared" si="3"/>
        <v>41.984</v>
      </c>
      <c r="H32" s="134">
        <f t="shared" si="3"/>
        <v>174.339</v>
      </c>
      <c r="I32" s="134">
        <f t="shared" si="3"/>
        <v>869</v>
      </c>
      <c r="J32" s="447">
        <f>SUM(J21:J31)</f>
        <v>6166.081</v>
      </c>
      <c r="K32" s="133">
        <f>J32/12/C32</f>
        <v>23.624831417624524</v>
      </c>
      <c r="L32" s="135"/>
      <c r="M32" s="277"/>
      <c r="P32" s="272"/>
      <c r="R32" s="135"/>
    </row>
    <row r="33" spans="1:18" ht="7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P33" s="271"/>
      <c r="R33" s="130"/>
    </row>
    <row r="34" spans="2:18" ht="17.25">
      <c r="B34" s="137" t="s">
        <v>295</v>
      </c>
      <c r="P34" s="274"/>
      <c r="R34" s="274"/>
    </row>
    <row r="35" spans="2:18" ht="17.25">
      <c r="B35" s="137" t="s">
        <v>296</v>
      </c>
      <c r="P35" s="271"/>
      <c r="R35" s="130"/>
    </row>
    <row r="36" spans="16:18" ht="30.75" customHeight="1">
      <c r="P36" s="275"/>
      <c r="R36" s="130"/>
    </row>
    <row r="37" spans="2:16" s="129" customFormat="1" ht="18">
      <c r="B37" s="129" t="s">
        <v>589</v>
      </c>
      <c r="E37" s="129" t="s">
        <v>753</v>
      </c>
      <c r="H37" s="3"/>
      <c r="P37" s="273"/>
    </row>
    <row r="38" spans="2:16" s="129" customFormat="1" ht="18">
      <c r="B38" s="137" t="s">
        <v>606</v>
      </c>
      <c r="E38" s="129" t="s">
        <v>402</v>
      </c>
      <c r="H38" s="3"/>
      <c r="P38" s="273"/>
    </row>
    <row r="39" spans="8:16" ht="18">
      <c r="H39" s="3"/>
      <c r="P39" s="130"/>
    </row>
    <row r="40" spans="2:8" s="129" customFormat="1" ht="18">
      <c r="B40" s="129" t="s">
        <v>408</v>
      </c>
      <c r="E40" s="129" t="s">
        <v>591</v>
      </c>
      <c r="H40" s="3"/>
    </row>
    <row r="41" spans="2:8" s="129" customFormat="1" ht="18">
      <c r="B41" s="137" t="s">
        <v>606</v>
      </c>
      <c r="E41" s="129" t="s">
        <v>402</v>
      </c>
      <c r="H41" s="3"/>
    </row>
    <row r="42" ht="17.25">
      <c r="P42" s="130"/>
    </row>
    <row r="43" ht="17.25">
      <c r="P43" s="130"/>
    </row>
    <row r="44" ht="17.25">
      <c r="P44" s="130"/>
    </row>
    <row r="45" ht="17.25">
      <c r="P45" s="130"/>
    </row>
    <row r="46" ht="17.25">
      <c r="P46" s="130"/>
    </row>
    <row r="47" ht="17.25">
      <c r="P47" s="130"/>
    </row>
    <row r="48" ht="17.25">
      <c r="P48" s="130"/>
    </row>
    <row r="49" ht="17.25">
      <c r="P49" s="130"/>
    </row>
    <row r="50" ht="17.25">
      <c r="P50" s="130"/>
    </row>
  </sheetData>
  <sheetProtection/>
  <mergeCells count="16">
    <mergeCell ref="I17:I19"/>
    <mergeCell ref="J17:J19"/>
    <mergeCell ref="K17:K19"/>
    <mergeCell ref="D18:D19"/>
    <mergeCell ref="E18:G18"/>
    <mergeCell ref="A32:B32"/>
    <mergeCell ref="A11:J11"/>
    <mergeCell ref="B12:K12"/>
    <mergeCell ref="B13:K13"/>
    <mergeCell ref="B14:K14"/>
    <mergeCell ref="B15:K15"/>
    <mergeCell ref="A17:A19"/>
    <mergeCell ref="B17:B19"/>
    <mergeCell ref="C17:C19"/>
    <mergeCell ref="D17:G17"/>
    <mergeCell ref="H17:H19"/>
  </mergeCells>
  <printOptions/>
  <pageMargins left="0.1968503937007874" right="0.1968503937007874" top="0.7086614173228347" bottom="0.1968503937007874" header="0.6299212598425197" footer="0.35433070866141736"/>
  <pageSetup fitToHeight="2" horizontalDpi="600" verticalDpi="600" orientation="landscape" paperSize="9" scale="5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5"/>
  <sheetViews>
    <sheetView zoomScale="55" zoomScaleNormal="55" zoomScalePageLayoutView="0" workbookViewId="0" topLeftCell="C1">
      <selection activeCell="E27" sqref="E27"/>
    </sheetView>
  </sheetViews>
  <sheetFormatPr defaultColWidth="9.140625" defaultRowHeight="15"/>
  <cols>
    <col min="1" max="1" width="7.57421875" style="6" customWidth="1"/>
    <col min="2" max="2" width="100.28125" style="6" customWidth="1"/>
    <col min="3" max="3" width="28.28125" style="6" customWidth="1"/>
    <col min="4" max="4" width="46.57421875" style="6" customWidth="1"/>
    <col min="5" max="5" width="87.00390625" style="6" customWidth="1"/>
    <col min="6" max="16384" width="9.140625" style="6" customWidth="1"/>
  </cols>
  <sheetData>
    <row r="1" ht="18">
      <c r="E1" s="11" t="s">
        <v>251</v>
      </c>
    </row>
    <row r="4" spans="1:5" ht="14.25">
      <c r="A4" s="644" t="s">
        <v>196</v>
      </c>
      <c r="B4" s="659"/>
      <c r="C4" s="659"/>
      <c r="D4" s="659"/>
      <c r="E4" s="659"/>
    </row>
    <row r="5" spans="1:5" s="70" customFormat="1" ht="27.75">
      <c r="A5" s="175"/>
      <c r="B5" s="175"/>
      <c r="C5" s="450" t="s">
        <v>722</v>
      </c>
      <c r="D5" s="175"/>
      <c r="E5" s="175"/>
    </row>
    <row r="6" spans="1:5" s="70" customFormat="1" ht="19.5" customHeight="1">
      <c r="A6" s="646" t="s">
        <v>344</v>
      </c>
      <c r="B6" s="646"/>
      <c r="C6" s="646"/>
      <c r="D6" s="646"/>
      <c r="E6" s="646"/>
    </row>
    <row r="7" spans="1:5" s="70" customFormat="1" ht="18.75" customHeight="1">
      <c r="A7" s="174"/>
      <c r="B7" s="645" t="s">
        <v>723</v>
      </c>
      <c r="C7" s="645"/>
      <c r="D7" s="645"/>
      <c r="E7" s="645"/>
    </row>
    <row r="8" spans="1:5" s="70" customFormat="1" ht="21" customHeight="1">
      <c r="A8" s="646" t="s">
        <v>252</v>
      </c>
      <c r="B8" s="646"/>
      <c r="C8" s="646"/>
      <c r="D8" s="646"/>
      <c r="E8" s="646"/>
    </row>
    <row r="9" ht="18">
      <c r="A9" s="84"/>
    </row>
    <row r="10" spans="1:5" s="105" customFormat="1" ht="69.75" customHeight="1">
      <c r="A10" s="337" t="s">
        <v>157</v>
      </c>
      <c r="B10" s="337" t="s">
        <v>20</v>
      </c>
      <c r="C10" s="337" t="s">
        <v>195</v>
      </c>
      <c r="D10" s="337" t="s">
        <v>194</v>
      </c>
      <c r="E10" s="337" t="s">
        <v>193</v>
      </c>
    </row>
    <row r="11" spans="1:5" ht="15">
      <c r="A11" s="107">
        <v>1</v>
      </c>
      <c r="B11" s="107">
        <v>2</v>
      </c>
      <c r="C11" s="107">
        <v>3</v>
      </c>
      <c r="D11" s="107">
        <v>4</v>
      </c>
      <c r="E11" s="107">
        <v>5</v>
      </c>
    </row>
    <row r="12" spans="1:5" s="25" customFormat="1" ht="24" customHeight="1">
      <c r="A12" s="95"/>
      <c r="B12" s="80" t="s">
        <v>192</v>
      </c>
      <c r="C12" s="337" t="s">
        <v>144</v>
      </c>
      <c r="D12" s="337" t="s">
        <v>144</v>
      </c>
      <c r="E12" s="176">
        <f>SUM(E13:E14)</f>
        <v>1149600</v>
      </c>
    </row>
    <row r="13" spans="1:5" ht="21">
      <c r="A13" s="86"/>
      <c r="B13" s="80" t="s">
        <v>697</v>
      </c>
      <c r="C13" s="181">
        <v>1</v>
      </c>
      <c r="D13" s="500">
        <v>1149600</v>
      </c>
      <c r="E13" s="499">
        <f>D13</f>
        <v>1149600</v>
      </c>
    </row>
    <row r="14" spans="1:5" ht="18">
      <c r="A14" s="86"/>
      <c r="B14" s="180"/>
      <c r="C14" s="181"/>
      <c r="D14" s="181"/>
      <c r="E14" s="176"/>
    </row>
    <row r="15" spans="1:5" s="25" customFormat="1" ht="21.75" customHeight="1">
      <c r="A15" s="95"/>
      <c r="B15" s="80" t="s">
        <v>191</v>
      </c>
      <c r="C15" s="337" t="s">
        <v>144</v>
      </c>
      <c r="D15" s="337" t="s">
        <v>144</v>
      </c>
      <c r="E15" s="176">
        <f>SUM(E16:E17)</f>
        <v>0</v>
      </c>
    </row>
    <row r="16" spans="1:5" ht="18">
      <c r="A16" s="86"/>
      <c r="B16" s="80" t="s">
        <v>190</v>
      </c>
      <c r="C16" s="181"/>
      <c r="D16" s="181"/>
      <c r="E16" s="176"/>
    </row>
    <row r="17" spans="1:5" ht="18">
      <c r="A17" s="86"/>
      <c r="B17" s="180"/>
      <c r="C17" s="181"/>
      <c r="D17" s="181"/>
      <c r="E17" s="176"/>
    </row>
    <row r="18" spans="1:5" s="25" customFormat="1" ht="18">
      <c r="A18" s="95"/>
      <c r="B18" s="80" t="s">
        <v>145</v>
      </c>
      <c r="C18" s="337" t="s">
        <v>144</v>
      </c>
      <c r="D18" s="337" t="s">
        <v>144</v>
      </c>
      <c r="E18" s="182">
        <f>E12+E15</f>
        <v>1149600</v>
      </c>
    </row>
    <row r="21" spans="2:7" s="3" customFormat="1" ht="18">
      <c r="B21" s="129" t="s">
        <v>589</v>
      </c>
      <c r="C21" s="129"/>
      <c r="D21" s="129"/>
      <c r="E21" s="129" t="s">
        <v>753</v>
      </c>
      <c r="F21" s="129"/>
      <c r="G21" s="129"/>
    </row>
    <row r="22" spans="2:7" s="3" customFormat="1" ht="18">
      <c r="B22" s="137" t="s">
        <v>606</v>
      </c>
      <c r="C22" s="129"/>
      <c r="D22" s="129"/>
      <c r="E22" s="129" t="s">
        <v>402</v>
      </c>
      <c r="F22" s="129"/>
      <c r="G22" s="129"/>
    </row>
    <row r="23" spans="2:7" ht="14.25">
      <c r="B23" s="131"/>
      <c r="C23" s="131"/>
      <c r="D23" s="131"/>
      <c r="E23" s="131"/>
      <c r="F23" s="131"/>
      <c r="G23" s="131"/>
    </row>
    <row r="24" spans="2:7" ht="18">
      <c r="B24" s="129" t="s">
        <v>408</v>
      </c>
      <c r="C24" s="129"/>
      <c r="D24" s="129"/>
      <c r="E24" s="129" t="s">
        <v>591</v>
      </c>
      <c r="F24" s="129"/>
      <c r="G24" s="129"/>
    </row>
    <row r="25" spans="2:7" ht="18">
      <c r="B25" s="137" t="s">
        <v>606</v>
      </c>
      <c r="C25" s="129"/>
      <c r="D25" s="129"/>
      <c r="E25" s="129" t="s">
        <v>402</v>
      </c>
      <c r="F25" s="129"/>
      <c r="G25" s="129"/>
    </row>
  </sheetData>
  <sheetProtection/>
  <mergeCells count="4">
    <mergeCell ref="A4:E4"/>
    <mergeCell ref="A6:E6"/>
    <mergeCell ref="B7:E7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G21"/>
  <sheetViews>
    <sheetView view="pageBreakPreview" zoomScale="60" zoomScalePageLayoutView="0" workbookViewId="0" topLeftCell="A10">
      <selection activeCell="D17" sqref="D17"/>
    </sheetView>
  </sheetViews>
  <sheetFormatPr defaultColWidth="9.140625" defaultRowHeight="15"/>
  <cols>
    <col min="1" max="1" width="5.7109375" style="3" customWidth="1"/>
    <col min="2" max="2" width="46.421875" style="3" customWidth="1"/>
    <col min="3" max="3" width="24.421875" style="3" customWidth="1"/>
    <col min="4" max="4" width="21.7109375" style="3" customWidth="1"/>
    <col min="5" max="5" width="31.28125" style="3" customWidth="1"/>
    <col min="6" max="6" width="29.8515625" style="3" customWidth="1"/>
    <col min="7" max="16384" width="8.8515625" style="3" customWidth="1"/>
  </cols>
  <sheetData>
    <row r="1" spans="5:6" ht="18">
      <c r="E1" s="11"/>
      <c r="F1" s="11" t="s">
        <v>248</v>
      </c>
    </row>
    <row r="2" spans="5:6" ht="18">
      <c r="E2" s="9"/>
      <c r="F2" s="9"/>
    </row>
    <row r="3" spans="1:6" ht="45" customHeight="1">
      <c r="A3" s="656" t="s">
        <v>699</v>
      </c>
      <c r="B3" s="657"/>
      <c r="C3" s="657"/>
      <c r="D3" s="657"/>
      <c r="E3" s="657"/>
      <c r="F3" s="657"/>
    </row>
    <row r="4" spans="1:6" ht="26.25" customHeight="1">
      <c r="A4" s="250"/>
      <c r="B4" s="632" t="s">
        <v>716</v>
      </c>
      <c r="C4" s="632"/>
      <c r="D4" s="632"/>
      <c r="E4" s="632"/>
      <c r="F4" s="251"/>
    </row>
    <row r="5" spans="1:6" ht="20.25" customHeight="1">
      <c r="A5" s="250"/>
      <c r="B5" s="646" t="s">
        <v>344</v>
      </c>
      <c r="C5" s="646"/>
      <c r="D5" s="646"/>
      <c r="E5" s="646"/>
      <c r="F5" s="251"/>
    </row>
    <row r="6" spans="1:6" s="70" customFormat="1" ht="45.75" customHeight="1">
      <c r="A6" s="84"/>
      <c r="B6" s="661" t="s">
        <v>720</v>
      </c>
      <c r="C6" s="661"/>
      <c r="D6" s="661"/>
      <c r="E6" s="661"/>
      <c r="F6" s="661"/>
    </row>
    <row r="7" spans="1:5" s="70" customFormat="1" ht="24.75" customHeight="1">
      <c r="A7" s="84"/>
      <c r="B7" s="633" t="s">
        <v>252</v>
      </c>
      <c r="C7" s="633"/>
      <c r="D7" s="633"/>
      <c r="E7" s="633"/>
    </row>
    <row r="8" ht="18">
      <c r="A8" s="84"/>
    </row>
    <row r="9" spans="1:6" ht="75" customHeight="1">
      <c r="A9" s="111" t="s">
        <v>157</v>
      </c>
      <c r="B9" s="111" t="s">
        <v>156</v>
      </c>
      <c r="C9" s="249" t="s">
        <v>173</v>
      </c>
      <c r="D9" s="249" t="s">
        <v>172</v>
      </c>
      <c r="E9" s="249" t="s">
        <v>171</v>
      </c>
      <c r="F9" s="249" t="s">
        <v>36</v>
      </c>
    </row>
    <row r="10" spans="1:6" ht="15" customHeight="1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91">
        <v>6</v>
      </c>
    </row>
    <row r="11" spans="1:6" ht="18">
      <c r="A11" s="91">
        <v>1</v>
      </c>
      <c r="B11" s="83" t="s">
        <v>170</v>
      </c>
      <c r="C11" s="78">
        <v>4</v>
      </c>
      <c r="D11" s="78">
        <v>12</v>
      </c>
      <c r="E11" s="114">
        <v>50</v>
      </c>
      <c r="F11" s="78">
        <f>C11*D11*E11</f>
        <v>2400</v>
      </c>
    </row>
    <row r="12" spans="1:6" ht="143.25" customHeight="1">
      <c r="A12" s="78">
        <v>2</v>
      </c>
      <c r="B12" s="478" t="s">
        <v>698</v>
      </c>
      <c r="C12" s="78">
        <v>10</v>
      </c>
      <c r="D12" s="78">
        <v>3</v>
      </c>
      <c r="E12" s="114">
        <f>2560/3</f>
        <v>853.3333333333334</v>
      </c>
      <c r="F12" s="78">
        <f>E12*D12*C12</f>
        <v>25600</v>
      </c>
    </row>
    <row r="13" spans="1:6" ht="18">
      <c r="A13" s="78"/>
      <c r="B13" s="79"/>
      <c r="C13" s="78"/>
      <c r="D13" s="78"/>
      <c r="E13" s="114" t="str">
        <f>IF(C13*D13=0," ",C13*D13)</f>
        <v> </v>
      </c>
      <c r="F13" s="78"/>
    </row>
    <row r="14" spans="1:6" ht="18">
      <c r="A14" s="78"/>
      <c r="B14" s="77" t="s">
        <v>145</v>
      </c>
      <c r="C14" s="42" t="s">
        <v>144</v>
      </c>
      <c r="D14" s="42" t="s">
        <v>144</v>
      </c>
      <c r="E14" s="117">
        <f>IF(SUM(E11:E13)=0," ",SUM(E11:E13))</f>
        <v>903.3333333333334</v>
      </c>
      <c r="F14" s="117">
        <f>SUM(F11:F13)</f>
        <v>28000</v>
      </c>
    </row>
    <row r="16" spans="2:7" ht="18">
      <c r="B16" s="129" t="s">
        <v>589</v>
      </c>
      <c r="C16" s="129"/>
      <c r="D16" s="129"/>
      <c r="E16" s="129" t="s">
        <v>753</v>
      </c>
      <c r="F16" s="129"/>
      <c r="G16" s="129"/>
    </row>
    <row r="17" spans="2:7" ht="18">
      <c r="B17" s="137" t="s">
        <v>606</v>
      </c>
      <c r="C17" s="129"/>
      <c r="D17" s="129"/>
      <c r="E17" s="129" t="s">
        <v>402</v>
      </c>
      <c r="F17" s="129"/>
      <c r="G17" s="129"/>
    </row>
    <row r="18" spans="2:7" ht="18">
      <c r="B18" s="131"/>
      <c r="C18" s="131"/>
      <c r="D18" s="131"/>
      <c r="E18" s="131"/>
      <c r="F18" s="131"/>
      <c r="G18" s="131"/>
    </row>
    <row r="19" spans="2:7" ht="18">
      <c r="B19" s="129" t="s">
        <v>408</v>
      </c>
      <c r="C19" s="129"/>
      <c r="D19" s="129"/>
      <c r="E19" s="129" t="s">
        <v>591</v>
      </c>
      <c r="F19" s="129"/>
      <c r="G19" s="129"/>
    </row>
    <row r="20" spans="2:7" ht="18">
      <c r="B20" s="137" t="s">
        <v>606</v>
      </c>
      <c r="C20" s="129"/>
      <c r="D20" s="129"/>
      <c r="E20" s="129" t="s">
        <v>402</v>
      </c>
      <c r="F20" s="129"/>
      <c r="G20" s="129"/>
    </row>
    <row r="21" ht="18">
      <c r="B21" s="1"/>
    </row>
  </sheetData>
  <sheetProtection/>
  <mergeCells count="5">
    <mergeCell ref="A3:F3"/>
    <mergeCell ref="B4:E4"/>
    <mergeCell ref="B5:E5"/>
    <mergeCell ref="B7:E7"/>
    <mergeCell ref="B6: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9"/>
  <sheetViews>
    <sheetView showZeros="0" view="pageBreakPreview" zoomScale="60" zoomScalePageLayoutView="0" workbookViewId="0" topLeftCell="A73">
      <selection activeCell="G94" sqref="G94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12.140625" style="6" customWidth="1"/>
    <col min="4" max="4" width="26.28125" style="25" customWidth="1"/>
    <col min="5" max="5" width="20.8515625" style="6" customWidth="1"/>
    <col min="6" max="6" width="22.7109375" style="6" customWidth="1"/>
    <col min="7" max="7" width="17.8515625" style="6" customWidth="1"/>
    <col min="8" max="8" width="12.7109375" style="6" customWidth="1"/>
    <col min="9" max="9" width="19.421875" style="6" customWidth="1"/>
    <col min="10" max="10" width="28.7109375" style="6" customWidth="1"/>
    <col min="11" max="11" width="11.57421875" style="6" customWidth="1"/>
    <col min="12" max="13" width="9.140625" style="6" customWidth="1"/>
    <col min="14" max="15" width="9.140625" style="26" customWidth="1"/>
    <col min="16" max="16" width="32.7109375" style="285" customWidth="1"/>
    <col min="17" max="17" width="9.140625" style="26" customWidth="1"/>
    <col min="18" max="18" width="24.7109375" style="285" customWidth="1"/>
    <col min="19" max="21" width="18.421875" style="285" customWidth="1"/>
    <col min="22" max="23" width="18.421875" style="283" customWidth="1"/>
    <col min="24" max="16384" width="9.140625" style="6" customWidth="1"/>
  </cols>
  <sheetData>
    <row r="1" spans="1:11" ht="21">
      <c r="A1" s="14"/>
      <c r="D1" s="6"/>
      <c r="K1" s="11" t="s">
        <v>133</v>
      </c>
    </row>
    <row r="2" ht="21">
      <c r="A2" s="19"/>
    </row>
    <row r="3" ht="21">
      <c r="A3" s="20"/>
    </row>
    <row r="4" spans="1:11" ht="21">
      <c r="A4" s="576" t="s">
        <v>96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</row>
    <row r="5" spans="1:11" ht="21">
      <c r="A5" s="143"/>
      <c r="B5" s="143"/>
      <c r="C5" s="143"/>
      <c r="D5" s="159"/>
      <c r="E5" s="314" t="s">
        <v>716</v>
      </c>
      <c r="F5" s="407"/>
      <c r="G5" s="159"/>
      <c r="H5" s="143"/>
      <c r="I5" s="143"/>
      <c r="J5" s="143"/>
      <c r="K5" s="143"/>
    </row>
    <row r="6" spans="1:11" ht="21">
      <c r="A6" s="143"/>
      <c r="B6" s="143"/>
      <c r="C6" s="143"/>
      <c r="D6" s="143"/>
      <c r="E6" s="13" t="s">
        <v>344</v>
      </c>
      <c r="F6" s="408"/>
      <c r="G6" s="143"/>
      <c r="H6" s="143"/>
      <c r="I6" s="143"/>
      <c r="J6" s="143"/>
      <c r="K6" s="143"/>
    </row>
    <row r="7" spans="1:11" ht="21">
      <c r="A7" s="577" t="s">
        <v>597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7" ht="17.25" customHeight="1">
      <c r="A8" s="20"/>
      <c r="D8" s="575"/>
      <c r="E8" s="575"/>
      <c r="F8" s="575"/>
      <c r="G8" s="575"/>
    </row>
    <row r="9" spans="1:11" ht="21">
      <c r="A9" s="578" t="s">
        <v>20</v>
      </c>
      <c r="B9" s="579" t="s">
        <v>56</v>
      </c>
      <c r="C9" s="580" t="s">
        <v>72</v>
      </c>
      <c r="D9" s="559" t="s">
        <v>74</v>
      </c>
      <c r="E9" s="560"/>
      <c r="F9" s="560"/>
      <c r="G9" s="560"/>
      <c r="H9" s="560"/>
      <c r="I9" s="560"/>
      <c r="J9" s="560"/>
      <c r="K9" s="561"/>
    </row>
    <row r="10" spans="1:11" ht="21">
      <c r="A10" s="578"/>
      <c r="B10" s="579"/>
      <c r="C10" s="581"/>
      <c r="D10" s="562" t="s">
        <v>95</v>
      </c>
      <c r="E10" s="563" t="s">
        <v>21</v>
      </c>
      <c r="F10" s="564"/>
      <c r="G10" s="564"/>
      <c r="H10" s="564"/>
      <c r="I10" s="564"/>
      <c r="J10" s="564"/>
      <c r="K10" s="565"/>
    </row>
    <row r="11" spans="1:11" ht="21">
      <c r="A11" s="578"/>
      <c r="B11" s="579"/>
      <c r="C11" s="581"/>
      <c r="D11" s="562"/>
      <c r="E11" s="566" t="s">
        <v>73</v>
      </c>
      <c r="F11" s="566" t="s">
        <v>559</v>
      </c>
      <c r="G11" s="569" t="s">
        <v>75</v>
      </c>
      <c r="H11" s="566" t="s">
        <v>76</v>
      </c>
      <c r="I11" s="566" t="s">
        <v>77</v>
      </c>
      <c r="J11" s="569" t="s">
        <v>78</v>
      </c>
      <c r="K11" s="572"/>
    </row>
    <row r="12" spans="1:11" ht="15" customHeight="1">
      <c r="A12" s="578"/>
      <c r="B12" s="579"/>
      <c r="C12" s="581"/>
      <c r="D12" s="562"/>
      <c r="E12" s="567"/>
      <c r="F12" s="567"/>
      <c r="G12" s="570"/>
      <c r="H12" s="567"/>
      <c r="I12" s="567"/>
      <c r="J12" s="570"/>
      <c r="K12" s="573"/>
    </row>
    <row r="13" spans="1:11" ht="15" customHeight="1">
      <c r="A13" s="578"/>
      <c r="B13" s="579"/>
      <c r="C13" s="581"/>
      <c r="D13" s="562"/>
      <c r="E13" s="567"/>
      <c r="F13" s="567"/>
      <c r="G13" s="570"/>
      <c r="H13" s="567"/>
      <c r="I13" s="567"/>
      <c r="J13" s="570"/>
      <c r="K13" s="573"/>
    </row>
    <row r="14" spans="1:11" ht="21">
      <c r="A14" s="578"/>
      <c r="B14" s="579"/>
      <c r="C14" s="581"/>
      <c r="D14" s="562"/>
      <c r="E14" s="567"/>
      <c r="F14" s="567"/>
      <c r="G14" s="570"/>
      <c r="H14" s="567"/>
      <c r="I14" s="567"/>
      <c r="J14" s="570"/>
      <c r="K14" s="573"/>
    </row>
    <row r="15" spans="1:11" ht="21">
      <c r="A15" s="578"/>
      <c r="B15" s="579"/>
      <c r="C15" s="581"/>
      <c r="D15" s="562"/>
      <c r="E15" s="567"/>
      <c r="F15" s="567"/>
      <c r="G15" s="570"/>
      <c r="H15" s="567"/>
      <c r="I15" s="567"/>
      <c r="J15" s="570"/>
      <c r="K15" s="573"/>
    </row>
    <row r="16" spans="1:11" ht="21">
      <c r="A16" s="578"/>
      <c r="B16" s="579"/>
      <c r="C16" s="581"/>
      <c r="D16" s="562"/>
      <c r="E16" s="567"/>
      <c r="F16" s="567"/>
      <c r="G16" s="570"/>
      <c r="H16" s="567"/>
      <c r="I16" s="567"/>
      <c r="J16" s="570"/>
      <c r="K16" s="573"/>
    </row>
    <row r="17" spans="1:11" ht="33.75" customHeight="1">
      <c r="A17" s="578"/>
      <c r="B17" s="579"/>
      <c r="C17" s="581"/>
      <c r="D17" s="562"/>
      <c r="E17" s="567"/>
      <c r="F17" s="567"/>
      <c r="G17" s="570"/>
      <c r="H17" s="567"/>
      <c r="I17" s="567"/>
      <c r="J17" s="571"/>
      <c r="K17" s="574"/>
    </row>
    <row r="18" spans="1:11" ht="70.5" customHeight="1">
      <c r="A18" s="578"/>
      <c r="B18" s="579"/>
      <c r="C18" s="582"/>
      <c r="D18" s="562"/>
      <c r="E18" s="568"/>
      <c r="F18" s="568"/>
      <c r="G18" s="571"/>
      <c r="H18" s="568"/>
      <c r="I18" s="568"/>
      <c r="J18" s="8" t="s">
        <v>57</v>
      </c>
      <c r="K18" s="8" t="s">
        <v>58</v>
      </c>
    </row>
    <row r="19" spans="1:23" s="153" customFormat="1" ht="21">
      <c r="A19" s="144">
        <v>1</v>
      </c>
      <c r="B19" s="144">
        <v>2</v>
      </c>
      <c r="C19" s="144">
        <v>3</v>
      </c>
      <c r="D19" s="144">
        <v>4</v>
      </c>
      <c r="E19" s="144">
        <v>5</v>
      </c>
      <c r="F19" s="409" t="s">
        <v>558</v>
      </c>
      <c r="G19" s="144">
        <v>6</v>
      </c>
      <c r="H19" s="144">
        <v>7</v>
      </c>
      <c r="I19" s="144">
        <v>8</v>
      </c>
      <c r="J19" s="144">
        <v>9</v>
      </c>
      <c r="K19" s="144">
        <v>10</v>
      </c>
      <c r="N19" s="303"/>
      <c r="O19" s="303"/>
      <c r="P19" s="285"/>
      <c r="Q19" s="303"/>
      <c r="R19" s="285"/>
      <c r="S19" s="285"/>
      <c r="T19" s="285"/>
      <c r="U19" s="285"/>
      <c r="V19" s="283"/>
      <c r="W19" s="283"/>
    </row>
    <row r="20" spans="1:23" s="25" customFormat="1" ht="34.5">
      <c r="A20" s="10" t="s">
        <v>79</v>
      </c>
      <c r="B20" s="27" t="s">
        <v>81</v>
      </c>
      <c r="C20" s="18" t="s">
        <v>60</v>
      </c>
      <c r="D20" s="28">
        <v>0</v>
      </c>
      <c r="E20" s="28">
        <v>0</v>
      </c>
      <c r="F20" s="28"/>
      <c r="G20" s="28">
        <v>0</v>
      </c>
      <c r="H20" s="28"/>
      <c r="I20" s="28">
        <v>0</v>
      </c>
      <c r="J20" s="28">
        <v>0</v>
      </c>
      <c r="K20" s="28"/>
      <c r="N20" s="216"/>
      <c r="O20" s="216"/>
      <c r="P20" s="304"/>
      <c r="Q20" s="216"/>
      <c r="R20" s="304"/>
      <c r="S20" s="304"/>
      <c r="T20" s="304"/>
      <c r="U20" s="304"/>
      <c r="V20" s="284"/>
      <c r="W20" s="284"/>
    </row>
    <row r="21" spans="1:11" ht="21">
      <c r="A21" s="10" t="s">
        <v>84</v>
      </c>
      <c r="B21" s="18">
        <v>100</v>
      </c>
      <c r="C21" s="18" t="s">
        <v>63</v>
      </c>
      <c r="D21" s="28">
        <f>E21+G21+H21+I21+J21</f>
        <v>38246480</v>
      </c>
      <c r="E21" s="28">
        <f aca="true" t="shared" si="0" ref="E21:K21">SUM(E22:E36)</f>
        <v>2404600</v>
      </c>
      <c r="F21" s="28"/>
      <c r="G21" s="28">
        <f t="shared" si="0"/>
        <v>305600</v>
      </c>
      <c r="H21" s="28">
        <f t="shared" si="0"/>
        <v>0</v>
      </c>
      <c r="I21" s="28">
        <f t="shared" si="0"/>
        <v>22260000</v>
      </c>
      <c r="J21" s="28">
        <f>SUM(J22:J36)</f>
        <v>13276280</v>
      </c>
      <c r="K21" s="28">
        <f t="shared" si="0"/>
        <v>0</v>
      </c>
    </row>
    <row r="22" spans="1:11" ht="54" hidden="1">
      <c r="A22" s="2" t="s">
        <v>61</v>
      </c>
      <c r="B22" s="22" t="s">
        <v>82</v>
      </c>
      <c r="C22" s="8">
        <v>180</v>
      </c>
      <c r="D22" s="28"/>
      <c r="E22" s="29"/>
      <c r="F22" s="29"/>
      <c r="G22" s="29"/>
      <c r="H22" s="29"/>
      <c r="I22" s="29"/>
      <c r="J22" s="29"/>
      <c r="K22" s="29"/>
    </row>
    <row r="23" spans="1:11" ht="108" hidden="1">
      <c r="A23" s="2" t="s">
        <v>62</v>
      </c>
      <c r="B23" s="22" t="s">
        <v>83</v>
      </c>
      <c r="C23" s="8">
        <v>130</v>
      </c>
      <c r="D23" s="28"/>
      <c r="E23" s="29"/>
      <c r="F23" s="29"/>
      <c r="G23" s="29"/>
      <c r="H23" s="29"/>
      <c r="I23" s="29"/>
      <c r="J23" s="29"/>
      <c r="K23" s="29"/>
    </row>
    <row r="24" spans="1:11" ht="21" hidden="1">
      <c r="A24" s="2" t="s">
        <v>306</v>
      </c>
      <c r="B24" s="8">
        <v>110</v>
      </c>
      <c r="C24" s="8">
        <v>120</v>
      </c>
      <c r="D24" s="28">
        <f aca="true" t="shared" si="1" ref="D24:D36">SUM(E24:J24)</f>
        <v>0</v>
      </c>
      <c r="E24" s="8" t="s">
        <v>63</v>
      </c>
      <c r="F24" s="409"/>
      <c r="G24" s="8" t="s">
        <v>63</v>
      </c>
      <c r="H24" s="8" t="s">
        <v>63</v>
      </c>
      <c r="I24" s="8" t="s">
        <v>63</v>
      </c>
      <c r="J24" s="8"/>
      <c r="K24" s="8" t="s">
        <v>63</v>
      </c>
    </row>
    <row r="25" spans="1:11" ht="72" hidden="1">
      <c r="A25" s="24" t="s">
        <v>85</v>
      </c>
      <c r="B25" s="8">
        <v>111</v>
      </c>
      <c r="C25" s="8">
        <v>120</v>
      </c>
      <c r="D25" s="28">
        <f t="shared" si="1"/>
        <v>0</v>
      </c>
      <c r="E25" s="8"/>
      <c r="F25" s="409"/>
      <c r="G25" s="8"/>
      <c r="H25" s="8"/>
      <c r="I25" s="8"/>
      <c r="J25" s="8"/>
      <c r="K25" s="8"/>
    </row>
    <row r="26" spans="1:11" ht="21" hidden="1">
      <c r="A26" s="24"/>
      <c r="B26" s="23"/>
      <c r="C26" s="23"/>
      <c r="D26" s="28">
        <f t="shared" si="1"/>
        <v>0</v>
      </c>
      <c r="E26" s="8"/>
      <c r="F26" s="409"/>
      <c r="G26" s="8"/>
      <c r="H26" s="8"/>
      <c r="I26" s="8"/>
      <c r="J26" s="8"/>
      <c r="K26" s="8"/>
    </row>
    <row r="27" spans="1:11" ht="36">
      <c r="A27" s="2" t="s">
        <v>86</v>
      </c>
      <c r="B27" s="8">
        <v>120</v>
      </c>
      <c r="C27" s="8">
        <v>130</v>
      </c>
      <c r="D27" s="28">
        <f t="shared" si="1"/>
        <v>37940880</v>
      </c>
      <c r="E27" s="290">
        <v>2404600</v>
      </c>
      <c r="F27" s="290"/>
      <c r="G27" s="8" t="s">
        <v>63</v>
      </c>
      <c r="H27" s="8" t="s">
        <v>63</v>
      </c>
      <c r="I27" s="290">
        <v>22260000</v>
      </c>
      <c r="J27" s="290">
        <v>13276280</v>
      </c>
      <c r="K27" s="8"/>
    </row>
    <row r="28" spans="1:11" ht="54" hidden="1">
      <c r="A28" s="2" t="s">
        <v>87</v>
      </c>
      <c r="B28" s="8">
        <v>130</v>
      </c>
      <c r="C28" s="8">
        <v>140</v>
      </c>
      <c r="D28" s="28">
        <f t="shared" si="1"/>
        <v>0</v>
      </c>
      <c r="E28" s="8" t="s">
        <v>63</v>
      </c>
      <c r="F28" s="409"/>
      <c r="G28" s="8" t="s">
        <v>63</v>
      </c>
      <c r="H28" s="8" t="s">
        <v>63</v>
      </c>
      <c r="I28" s="8" t="s">
        <v>63</v>
      </c>
      <c r="J28" s="8"/>
      <c r="K28" s="8" t="s">
        <v>63</v>
      </c>
    </row>
    <row r="29" spans="1:11" ht="99" customHeight="1" hidden="1">
      <c r="A29" s="2" t="s">
        <v>88</v>
      </c>
      <c r="B29" s="8">
        <v>140</v>
      </c>
      <c r="C29" s="8">
        <v>150</v>
      </c>
      <c r="D29" s="28">
        <f t="shared" si="1"/>
        <v>0</v>
      </c>
      <c r="E29" s="8" t="s">
        <v>63</v>
      </c>
      <c r="F29" s="409"/>
      <c r="G29" s="8" t="s">
        <v>63</v>
      </c>
      <c r="H29" s="8" t="s">
        <v>63</v>
      </c>
      <c r="I29" s="8" t="s">
        <v>63</v>
      </c>
      <c r="J29" s="8"/>
      <c r="K29" s="8" t="s">
        <v>63</v>
      </c>
    </row>
    <row r="30" spans="1:11" ht="36">
      <c r="A30" s="2" t="s">
        <v>89</v>
      </c>
      <c r="B30" s="8">
        <v>150</v>
      </c>
      <c r="C30" s="8">
        <v>180</v>
      </c>
      <c r="D30" s="28">
        <f t="shared" si="1"/>
        <v>305600</v>
      </c>
      <c r="E30" s="8" t="s">
        <v>63</v>
      </c>
      <c r="F30" s="409"/>
      <c r="G30" s="29">
        <v>305600</v>
      </c>
      <c r="H30" s="8"/>
      <c r="I30" s="8" t="s">
        <v>63</v>
      </c>
      <c r="J30" s="8" t="s">
        <v>63</v>
      </c>
      <c r="K30" s="8" t="s">
        <v>63</v>
      </c>
    </row>
    <row r="31" spans="1:11" ht="21" hidden="1">
      <c r="A31" s="2" t="s">
        <v>90</v>
      </c>
      <c r="B31" s="8">
        <v>160</v>
      </c>
      <c r="C31" s="8">
        <v>180</v>
      </c>
      <c r="D31" s="28">
        <f t="shared" si="1"/>
        <v>0</v>
      </c>
      <c r="E31" s="8" t="s">
        <v>63</v>
      </c>
      <c r="F31" s="409"/>
      <c r="G31" s="8" t="s">
        <v>63</v>
      </c>
      <c r="H31" s="8" t="s">
        <v>63</v>
      </c>
      <c r="I31" s="8" t="s">
        <v>63</v>
      </c>
      <c r="J31" s="8"/>
      <c r="K31" s="8"/>
    </row>
    <row r="32" spans="1:11" ht="49.5" customHeight="1" hidden="1">
      <c r="A32" s="2" t="s">
        <v>91</v>
      </c>
      <c r="B32" s="8">
        <v>180</v>
      </c>
      <c r="C32" s="8" t="s">
        <v>63</v>
      </c>
      <c r="D32" s="28">
        <f t="shared" si="1"/>
        <v>0</v>
      </c>
      <c r="E32" s="8" t="s">
        <v>63</v>
      </c>
      <c r="F32" s="409"/>
      <c r="G32" s="8" t="s">
        <v>63</v>
      </c>
      <c r="H32" s="8" t="s">
        <v>63</v>
      </c>
      <c r="I32" s="8" t="s">
        <v>63</v>
      </c>
      <c r="J32" s="8"/>
      <c r="K32" s="8" t="s">
        <v>63</v>
      </c>
    </row>
    <row r="33" spans="1:11" ht="36" hidden="1">
      <c r="A33" s="24" t="s">
        <v>92</v>
      </c>
      <c r="B33" s="8">
        <v>181</v>
      </c>
      <c r="C33" s="8">
        <v>410</v>
      </c>
      <c r="D33" s="28">
        <f t="shared" si="1"/>
        <v>0</v>
      </c>
      <c r="E33" s="8"/>
      <c r="F33" s="409"/>
      <c r="G33" s="8"/>
      <c r="H33" s="8"/>
      <c r="I33" s="8"/>
      <c r="J33" s="8"/>
      <c r="K33" s="8"/>
    </row>
    <row r="34" spans="1:18" ht="36" hidden="1">
      <c r="A34" s="24" t="s">
        <v>93</v>
      </c>
      <c r="B34" s="8">
        <v>182</v>
      </c>
      <c r="C34" s="8">
        <v>420</v>
      </c>
      <c r="D34" s="28">
        <f t="shared" si="1"/>
        <v>0</v>
      </c>
      <c r="E34" s="8"/>
      <c r="F34" s="409"/>
      <c r="G34" s="8"/>
      <c r="H34" s="8"/>
      <c r="I34" s="8"/>
      <c r="J34" s="8"/>
      <c r="K34" s="8"/>
      <c r="P34" s="305"/>
      <c r="R34" s="305"/>
    </row>
    <row r="35" spans="1:18" ht="36" hidden="1">
      <c r="A35" s="24" t="s">
        <v>94</v>
      </c>
      <c r="B35" s="8">
        <v>183</v>
      </c>
      <c r="C35" s="8">
        <v>440</v>
      </c>
      <c r="D35" s="28">
        <f t="shared" si="1"/>
        <v>0</v>
      </c>
      <c r="E35" s="8"/>
      <c r="F35" s="409"/>
      <c r="G35" s="8"/>
      <c r="H35" s="8"/>
      <c r="I35" s="8"/>
      <c r="J35" s="8"/>
      <c r="K35" s="8"/>
      <c r="P35" s="296"/>
      <c r="Q35" s="306"/>
      <c r="R35" s="296"/>
    </row>
    <row r="36" spans="1:11" ht="21" hidden="1">
      <c r="A36" s="2"/>
      <c r="B36" s="8"/>
      <c r="C36" s="8"/>
      <c r="D36" s="28">
        <f t="shared" si="1"/>
        <v>0</v>
      </c>
      <c r="E36" s="8"/>
      <c r="F36" s="409"/>
      <c r="G36" s="8"/>
      <c r="H36" s="8"/>
      <c r="I36" s="8"/>
      <c r="J36" s="8"/>
      <c r="K36" s="8"/>
    </row>
    <row r="37" spans="1:23" s="26" customFormat="1" ht="21">
      <c r="A37" s="30" t="s">
        <v>64</v>
      </c>
      <c r="B37" s="31">
        <v>200</v>
      </c>
      <c r="C37" s="31" t="s">
        <v>63</v>
      </c>
      <c r="D37" s="32">
        <f>D38+D45+D52++D61+D63+D68+D69+D70</f>
        <v>38246479.99639</v>
      </c>
      <c r="E37" s="32">
        <f aca="true" t="shared" si="2" ref="E37:K37">E38+E45+E52++E61+E63+E68+E69+E70</f>
        <v>2404599.99515</v>
      </c>
      <c r="F37" s="32"/>
      <c r="G37" s="32">
        <f t="shared" si="2"/>
        <v>305600</v>
      </c>
      <c r="H37" s="32">
        <f t="shared" si="2"/>
        <v>0</v>
      </c>
      <c r="I37" s="32">
        <f t="shared" si="2"/>
        <v>22260000.00162</v>
      </c>
      <c r="J37" s="32">
        <f>J38+J45+J52++J61+J63+J68+J69+J70</f>
        <v>13276279.99962</v>
      </c>
      <c r="K37" s="32">
        <f t="shared" si="2"/>
        <v>0</v>
      </c>
      <c r="P37" s="296"/>
      <c r="R37" s="296"/>
      <c r="S37" s="285"/>
      <c r="T37" s="285"/>
      <c r="U37" s="285"/>
      <c r="V37" s="285"/>
      <c r="W37" s="285"/>
    </row>
    <row r="38" spans="1:23" s="26" customFormat="1" ht="36">
      <c r="A38" s="33" t="s">
        <v>307</v>
      </c>
      <c r="B38" s="31">
        <v>210</v>
      </c>
      <c r="C38" s="31">
        <v>100</v>
      </c>
      <c r="D38" s="32">
        <f>D39+D41+D42</f>
        <v>27998787.39</v>
      </c>
      <c r="E38" s="317">
        <f aca="true" t="shared" si="3" ref="E38:K38">E39+E41+E42</f>
        <v>1766999.996</v>
      </c>
      <c r="F38" s="317"/>
      <c r="G38" s="34">
        <f>G39+G41+G42</f>
        <v>253200</v>
      </c>
      <c r="H38" s="34">
        <f t="shared" si="3"/>
        <v>0</v>
      </c>
      <c r="I38" s="374">
        <f t="shared" si="3"/>
        <v>17922350.392</v>
      </c>
      <c r="J38" s="34">
        <f>J39+J41+J42</f>
        <v>8056237.002</v>
      </c>
      <c r="K38" s="34">
        <f t="shared" si="3"/>
        <v>0</v>
      </c>
      <c r="P38" s="305"/>
      <c r="R38" s="305"/>
      <c r="S38" s="285"/>
      <c r="T38" s="285"/>
      <c r="U38" s="285"/>
      <c r="V38" s="285"/>
      <c r="W38" s="285"/>
    </row>
    <row r="39" spans="1:23" s="26" customFormat="1" ht="54">
      <c r="A39" s="33" t="s">
        <v>308</v>
      </c>
      <c r="B39" s="31">
        <v>211</v>
      </c>
      <c r="C39" s="31">
        <v>111.119</v>
      </c>
      <c r="D39" s="32">
        <f>D40+D43</f>
        <v>27671021</v>
      </c>
      <c r="E39" s="317">
        <f>E40+E43</f>
        <v>1766999.996</v>
      </c>
      <c r="F39" s="317"/>
      <c r="G39" s="34">
        <f>G40+G43</f>
        <v>0</v>
      </c>
      <c r="H39" s="34">
        <f>H40+H43</f>
        <v>0</v>
      </c>
      <c r="I39" s="374">
        <f>I40+I43</f>
        <v>17875784.002</v>
      </c>
      <c r="J39" s="34">
        <f>J40+J43</f>
        <v>8028237.002</v>
      </c>
      <c r="K39" s="34">
        <f>K40+K43</f>
        <v>0</v>
      </c>
      <c r="P39" s="285"/>
      <c r="R39" s="285"/>
      <c r="S39" s="285"/>
      <c r="T39" s="285"/>
      <c r="U39" s="285"/>
      <c r="V39" s="285"/>
      <c r="W39" s="285"/>
    </row>
    <row r="40" spans="1:23" s="26" customFormat="1" ht="21">
      <c r="A40" s="33" t="s">
        <v>309</v>
      </c>
      <c r="B40" s="31">
        <v>212</v>
      </c>
      <c r="C40" s="31">
        <v>111</v>
      </c>
      <c r="D40" s="28">
        <f>SUM(E40:J40)</f>
        <v>21252705</v>
      </c>
      <c r="E40" s="317">
        <f>'111 Б'!J32*1000</f>
        <v>1357143</v>
      </c>
      <c r="F40" s="317"/>
      <c r="G40" s="34"/>
      <c r="H40" s="34"/>
      <c r="I40" s="374">
        <f>'111 ОМС'!J32*1000</f>
        <v>13729481</v>
      </c>
      <c r="J40" s="317">
        <f>'111 ВнеБ(дополнит)'!J32*1000+'111 ВнеБ осн.'!J32*1000</f>
        <v>6166081</v>
      </c>
      <c r="K40" s="34"/>
      <c r="P40" s="285"/>
      <c r="R40" s="285"/>
      <c r="S40" s="285"/>
      <c r="T40" s="285"/>
      <c r="U40" s="285"/>
      <c r="V40" s="285"/>
      <c r="W40" s="285"/>
    </row>
    <row r="41" spans="1:23" s="26" customFormat="1" ht="82.5" customHeight="1">
      <c r="A41" s="35" t="s">
        <v>310</v>
      </c>
      <c r="B41" s="31">
        <v>213</v>
      </c>
      <c r="C41" s="31">
        <v>112</v>
      </c>
      <c r="D41" s="28">
        <f>SUM(E41:J41)</f>
        <v>327766.39</v>
      </c>
      <c r="E41" s="317">
        <f>'112.1Б'!F15</f>
        <v>0</v>
      </c>
      <c r="F41" s="317"/>
      <c r="G41" s="34">
        <f>242000+11200</f>
        <v>253200</v>
      </c>
      <c r="H41" s="34"/>
      <c r="I41" s="374">
        <f>'266 ОМС'!F14</f>
        <v>46566.39</v>
      </c>
      <c r="J41" s="428">
        <f>'266 ВнеБ'!F14</f>
        <v>28000</v>
      </c>
      <c r="K41" s="34"/>
      <c r="P41" s="285"/>
      <c r="R41" s="285"/>
      <c r="S41" s="285"/>
      <c r="T41" s="285"/>
      <c r="U41" s="285"/>
      <c r="V41" s="285"/>
      <c r="W41" s="285"/>
    </row>
    <row r="42" spans="1:23" s="26" customFormat="1" ht="87.75" customHeight="1" hidden="1">
      <c r="A42" s="33" t="s">
        <v>311</v>
      </c>
      <c r="B42" s="31">
        <v>214</v>
      </c>
      <c r="C42" s="31">
        <v>113</v>
      </c>
      <c r="D42" s="28">
        <f>SUM(E42:J42)</f>
        <v>0</v>
      </c>
      <c r="E42" s="317"/>
      <c r="F42" s="317"/>
      <c r="G42" s="34"/>
      <c r="H42" s="34"/>
      <c r="I42" s="317"/>
      <c r="J42" s="428"/>
      <c r="K42" s="34"/>
      <c r="P42" s="285"/>
      <c r="R42" s="285"/>
      <c r="S42" s="285"/>
      <c r="T42" s="285"/>
      <c r="U42" s="285"/>
      <c r="V42" s="285"/>
      <c r="W42" s="285"/>
    </row>
    <row r="43" spans="1:23" s="26" customFormat="1" ht="105.75" customHeight="1">
      <c r="A43" s="33" t="s">
        <v>312</v>
      </c>
      <c r="B43" s="31">
        <v>215</v>
      </c>
      <c r="C43" s="31">
        <v>119</v>
      </c>
      <c r="D43" s="28">
        <f>SUM(E43:J43)</f>
        <v>6418316</v>
      </c>
      <c r="E43" s="317">
        <f>'119 Б'!D22</f>
        <v>409856.99600000004</v>
      </c>
      <c r="F43" s="317"/>
      <c r="G43" s="34"/>
      <c r="H43" s="34"/>
      <c r="I43" s="317">
        <f>'119 ОМС'!D22</f>
        <v>4146303.0019999994</v>
      </c>
      <c r="J43" s="317">
        <f>'119 ВнеБ'!D22</f>
        <v>1862156.0019999999</v>
      </c>
      <c r="K43" s="34"/>
      <c r="P43" s="285"/>
      <c r="R43" s="285"/>
      <c r="S43" s="285"/>
      <c r="T43" s="285"/>
      <c r="U43" s="285"/>
      <c r="V43" s="285"/>
      <c r="W43" s="285"/>
    </row>
    <row r="44" spans="1:23" s="26" customFormat="1" ht="21" hidden="1">
      <c r="A44" s="33"/>
      <c r="B44" s="31"/>
      <c r="C44" s="31"/>
      <c r="D44" s="28">
        <f>SUM(E44:J44)</f>
        <v>0</v>
      </c>
      <c r="E44" s="317"/>
      <c r="F44" s="317"/>
      <c r="G44" s="34"/>
      <c r="H44" s="34"/>
      <c r="I44" s="317"/>
      <c r="J44" s="317"/>
      <c r="K44" s="34"/>
      <c r="P44" s="285"/>
      <c r="R44" s="285"/>
      <c r="S44" s="285"/>
      <c r="T44" s="285"/>
      <c r="U44" s="285"/>
      <c r="V44" s="285"/>
      <c r="W44" s="285"/>
    </row>
    <row r="45" spans="1:23" s="26" customFormat="1" ht="36" hidden="1">
      <c r="A45" s="33" t="s">
        <v>313</v>
      </c>
      <c r="B45" s="31">
        <v>220</v>
      </c>
      <c r="C45" s="31">
        <v>300</v>
      </c>
      <c r="D45" s="32">
        <f>D46+D48+D49+D50</f>
        <v>0</v>
      </c>
      <c r="E45" s="317">
        <f aca="true" t="shared" si="4" ref="E45:K45">E46+E48+E49+E50</f>
        <v>0</v>
      </c>
      <c r="F45" s="317"/>
      <c r="G45" s="34">
        <f t="shared" si="4"/>
        <v>0</v>
      </c>
      <c r="H45" s="34">
        <f t="shared" si="4"/>
        <v>0</v>
      </c>
      <c r="I45" s="317">
        <f t="shared" si="4"/>
        <v>0</v>
      </c>
      <c r="J45" s="317">
        <f t="shared" si="4"/>
        <v>0</v>
      </c>
      <c r="K45" s="34">
        <f t="shared" si="4"/>
        <v>0</v>
      </c>
      <c r="P45" s="285"/>
      <c r="R45" s="285"/>
      <c r="S45" s="285"/>
      <c r="T45" s="285"/>
      <c r="U45" s="285"/>
      <c r="V45" s="285"/>
      <c r="W45" s="285"/>
    </row>
    <row r="46" spans="1:23" s="26" customFormat="1" ht="65.25" customHeight="1" hidden="1">
      <c r="A46" s="33" t="s">
        <v>314</v>
      </c>
      <c r="B46" s="31">
        <v>221</v>
      </c>
      <c r="C46" s="31">
        <v>320</v>
      </c>
      <c r="D46" s="32">
        <f>D47</f>
        <v>0</v>
      </c>
      <c r="E46" s="317">
        <f aca="true" t="shared" si="5" ref="E46:K46">E47</f>
        <v>0</v>
      </c>
      <c r="F46" s="317"/>
      <c r="G46" s="34">
        <f t="shared" si="5"/>
        <v>0</v>
      </c>
      <c r="H46" s="34">
        <f t="shared" si="5"/>
        <v>0</v>
      </c>
      <c r="I46" s="317">
        <f t="shared" si="5"/>
        <v>0</v>
      </c>
      <c r="J46" s="317">
        <f t="shared" si="5"/>
        <v>0</v>
      </c>
      <c r="K46" s="34">
        <f t="shared" si="5"/>
        <v>0</v>
      </c>
      <c r="P46" s="285"/>
      <c r="R46" s="285"/>
      <c r="S46" s="285"/>
      <c r="T46" s="285"/>
      <c r="U46" s="285"/>
      <c r="V46" s="285"/>
      <c r="W46" s="285"/>
    </row>
    <row r="47" spans="1:23" s="26" customFormat="1" ht="63.75" customHeight="1" hidden="1">
      <c r="A47" s="33" t="s">
        <v>315</v>
      </c>
      <c r="B47" s="31">
        <v>222</v>
      </c>
      <c r="C47" s="31">
        <v>321</v>
      </c>
      <c r="D47" s="28">
        <f>SUM(E47:J47)</f>
        <v>0</v>
      </c>
      <c r="E47" s="317"/>
      <c r="F47" s="317"/>
      <c r="G47" s="34"/>
      <c r="H47" s="34"/>
      <c r="I47" s="317"/>
      <c r="J47" s="317"/>
      <c r="K47" s="34"/>
      <c r="P47" s="285"/>
      <c r="R47" s="285"/>
      <c r="S47" s="285"/>
      <c r="T47" s="285"/>
      <c r="U47" s="285"/>
      <c r="V47" s="285"/>
      <c r="W47" s="285"/>
    </row>
    <row r="48" spans="1:23" s="26" customFormat="1" ht="21" hidden="1">
      <c r="A48" s="33" t="s">
        <v>316</v>
      </c>
      <c r="B48" s="31">
        <v>223</v>
      </c>
      <c r="C48" s="31">
        <v>340</v>
      </c>
      <c r="D48" s="28">
        <f>SUM(E48:J48)</f>
        <v>0</v>
      </c>
      <c r="E48" s="317"/>
      <c r="F48" s="317"/>
      <c r="G48" s="34"/>
      <c r="H48" s="34"/>
      <c r="I48" s="317"/>
      <c r="J48" s="317"/>
      <c r="K48" s="34"/>
      <c r="P48" s="285"/>
      <c r="R48" s="285"/>
      <c r="S48" s="285"/>
      <c r="T48" s="285"/>
      <c r="U48" s="285"/>
      <c r="V48" s="285"/>
      <c r="W48" s="285"/>
    </row>
    <row r="49" spans="1:23" s="26" customFormat="1" ht="21" hidden="1">
      <c r="A49" s="33" t="s">
        <v>317</v>
      </c>
      <c r="B49" s="31">
        <v>224</v>
      </c>
      <c r="C49" s="31">
        <v>350</v>
      </c>
      <c r="D49" s="28">
        <f>SUM(E49:J49)</f>
        <v>0</v>
      </c>
      <c r="E49" s="317"/>
      <c r="F49" s="317"/>
      <c r="G49" s="34"/>
      <c r="H49" s="34"/>
      <c r="I49" s="317"/>
      <c r="J49" s="317"/>
      <c r="K49" s="34"/>
      <c r="P49" s="285"/>
      <c r="R49" s="285"/>
      <c r="S49" s="285"/>
      <c r="T49" s="285"/>
      <c r="U49" s="285"/>
      <c r="V49" s="285"/>
      <c r="W49" s="285"/>
    </row>
    <row r="50" spans="1:23" s="26" customFormat="1" ht="21" hidden="1">
      <c r="A50" s="33" t="s">
        <v>318</v>
      </c>
      <c r="B50" s="31">
        <v>225</v>
      </c>
      <c r="C50" s="31">
        <v>360</v>
      </c>
      <c r="D50" s="28">
        <f>SUM(E50:J50)</f>
        <v>0</v>
      </c>
      <c r="E50" s="317"/>
      <c r="F50" s="317"/>
      <c r="G50" s="34"/>
      <c r="H50" s="34"/>
      <c r="I50" s="317"/>
      <c r="J50" s="317"/>
      <c r="K50" s="34"/>
      <c r="P50" s="285"/>
      <c r="R50" s="285"/>
      <c r="S50" s="285"/>
      <c r="T50" s="285"/>
      <c r="U50" s="285"/>
      <c r="V50" s="285"/>
      <c r="W50" s="285"/>
    </row>
    <row r="51" spans="1:23" s="26" customFormat="1" ht="21" hidden="1">
      <c r="A51" s="35"/>
      <c r="B51" s="31"/>
      <c r="C51" s="31"/>
      <c r="D51" s="28">
        <f>SUM(E51:J51)</f>
        <v>0</v>
      </c>
      <c r="E51" s="317"/>
      <c r="F51" s="317"/>
      <c r="G51" s="34"/>
      <c r="H51" s="34"/>
      <c r="I51" s="317"/>
      <c r="J51" s="317"/>
      <c r="K51" s="34"/>
      <c r="P51" s="285"/>
      <c r="R51" s="285"/>
      <c r="S51" s="285"/>
      <c r="T51" s="285"/>
      <c r="U51" s="285"/>
      <c r="V51" s="285"/>
      <c r="W51" s="285"/>
    </row>
    <row r="52" spans="1:23" s="26" customFormat="1" ht="36">
      <c r="A52" s="33" t="s">
        <v>319</v>
      </c>
      <c r="B52" s="31">
        <v>226</v>
      </c>
      <c r="C52" s="31">
        <v>800</v>
      </c>
      <c r="D52" s="32">
        <f>D53+D55+D59</f>
        <v>73303.4</v>
      </c>
      <c r="E52" s="317">
        <f aca="true" t="shared" si="6" ref="E52:K52">E53+E55+E59</f>
        <v>0</v>
      </c>
      <c r="F52" s="317"/>
      <c r="G52" s="34"/>
      <c r="H52" s="34">
        <f t="shared" si="6"/>
        <v>0</v>
      </c>
      <c r="I52" s="317">
        <f t="shared" si="6"/>
        <v>61995.4</v>
      </c>
      <c r="J52" s="317">
        <f>J53+J55+J59</f>
        <v>11308</v>
      </c>
      <c r="K52" s="34">
        <f t="shared" si="6"/>
        <v>0</v>
      </c>
      <c r="P52" s="285"/>
      <c r="R52" s="285"/>
      <c r="S52" s="285"/>
      <c r="T52" s="285"/>
      <c r="U52" s="285"/>
      <c r="V52" s="285"/>
      <c r="W52" s="285"/>
    </row>
    <row r="53" spans="1:23" s="26" customFormat="1" ht="108" hidden="1">
      <c r="A53" s="35" t="s">
        <v>65</v>
      </c>
      <c r="B53" s="31">
        <v>227</v>
      </c>
      <c r="C53" s="31">
        <v>831</v>
      </c>
      <c r="D53" s="28">
        <f>SUM(E53:J53)</f>
        <v>0</v>
      </c>
      <c r="E53" s="317"/>
      <c r="F53" s="317"/>
      <c r="G53" s="34"/>
      <c r="H53" s="34"/>
      <c r="I53" s="317"/>
      <c r="J53" s="317"/>
      <c r="K53" s="34"/>
      <c r="P53" s="285"/>
      <c r="R53" s="285"/>
      <c r="S53" s="285"/>
      <c r="T53" s="285"/>
      <c r="U53" s="285"/>
      <c r="V53" s="285"/>
      <c r="W53" s="285"/>
    </row>
    <row r="54" spans="1:23" s="26" customFormat="1" ht="21" hidden="1">
      <c r="A54" s="33"/>
      <c r="B54" s="31"/>
      <c r="C54" s="31"/>
      <c r="D54" s="28">
        <f>SUM(E54:J54)</f>
        <v>0</v>
      </c>
      <c r="E54" s="317"/>
      <c r="F54" s="317"/>
      <c r="G54" s="34"/>
      <c r="H54" s="34"/>
      <c r="I54" s="317"/>
      <c r="J54" s="317"/>
      <c r="K54" s="34"/>
      <c r="P54" s="285"/>
      <c r="R54" s="285"/>
      <c r="S54" s="285"/>
      <c r="T54" s="285"/>
      <c r="U54" s="285"/>
      <c r="V54" s="285"/>
      <c r="W54" s="285"/>
    </row>
    <row r="55" spans="1:23" s="26" customFormat="1" ht="21">
      <c r="A55" s="33" t="s">
        <v>472</v>
      </c>
      <c r="B55" s="31">
        <v>230</v>
      </c>
      <c r="C55" s="31">
        <v>850</v>
      </c>
      <c r="D55" s="32">
        <f>SUM(D56:D58)</f>
        <v>73303.4</v>
      </c>
      <c r="E55" s="317">
        <f aca="true" t="shared" si="7" ref="E55:K55">SUM(E56:E58)</f>
        <v>0</v>
      </c>
      <c r="F55" s="317"/>
      <c r="G55" s="34">
        <f t="shared" si="7"/>
        <v>0</v>
      </c>
      <c r="H55" s="34">
        <f t="shared" si="7"/>
        <v>0</v>
      </c>
      <c r="I55" s="317">
        <f>SUM(I56:I58)</f>
        <v>61995.4</v>
      </c>
      <c r="J55" s="317">
        <f>SUM(J56:J58)</f>
        <v>11308</v>
      </c>
      <c r="K55" s="34">
        <f t="shared" si="7"/>
        <v>0</v>
      </c>
      <c r="P55" s="285"/>
      <c r="R55" s="285"/>
      <c r="S55" s="285"/>
      <c r="T55" s="285"/>
      <c r="U55" s="285"/>
      <c r="V55" s="285"/>
      <c r="W55" s="285"/>
    </row>
    <row r="56" spans="1:23" s="26" customFormat="1" ht="22.5" customHeight="1">
      <c r="A56" s="476" t="s">
        <v>695</v>
      </c>
      <c r="B56" s="477">
        <v>231</v>
      </c>
      <c r="C56" s="477">
        <v>851</v>
      </c>
      <c r="D56" s="318">
        <f aca="true" t="shared" si="8" ref="D56:D89">SUM(E56:J56)</f>
        <v>73303.4</v>
      </c>
      <c r="E56" s="317">
        <f>'290имБ'!F16</f>
        <v>0</v>
      </c>
      <c r="F56" s="317"/>
      <c r="G56" s="317"/>
      <c r="H56" s="317"/>
      <c r="I56" s="317">
        <f>'290имОМС'!E12+'290трОМС'!F27</f>
        <v>61995.4</v>
      </c>
      <c r="J56" s="317">
        <f>'290тр ВнеБ'!F29</f>
        <v>11308</v>
      </c>
      <c r="K56" s="34"/>
      <c r="P56" s="285"/>
      <c r="R56" s="285"/>
      <c r="S56" s="285"/>
      <c r="T56" s="285"/>
      <c r="U56" s="285"/>
      <c r="V56" s="285"/>
      <c r="W56" s="285"/>
    </row>
    <row r="57" spans="1:23" s="26" customFormat="1" ht="21" hidden="1">
      <c r="A57" s="33" t="s">
        <v>696</v>
      </c>
      <c r="B57" s="31">
        <v>232</v>
      </c>
      <c r="C57" s="31"/>
      <c r="D57" s="318">
        <f t="shared" si="8"/>
        <v>0</v>
      </c>
      <c r="E57" s="317">
        <f>'290трБ'!F27</f>
        <v>0</v>
      </c>
      <c r="F57" s="317"/>
      <c r="G57" s="317"/>
      <c r="H57" s="317"/>
      <c r="I57" s="317"/>
      <c r="J57" s="317"/>
      <c r="K57" s="34"/>
      <c r="P57" s="285"/>
      <c r="R57" s="285"/>
      <c r="S57" s="285"/>
      <c r="T57" s="285"/>
      <c r="U57" s="285"/>
      <c r="V57" s="285"/>
      <c r="W57" s="285"/>
    </row>
    <row r="58" spans="1:23" s="26" customFormat="1" ht="21" hidden="1">
      <c r="A58" s="33" t="s">
        <v>323</v>
      </c>
      <c r="B58" s="31">
        <v>233</v>
      </c>
      <c r="C58" s="31"/>
      <c r="D58" s="318">
        <f t="shared" si="8"/>
        <v>0</v>
      </c>
      <c r="E58" s="317"/>
      <c r="F58" s="317"/>
      <c r="G58" s="317"/>
      <c r="H58" s="317"/>
      <c r="I58" s="317"/>
      <c r="J58" s="317">
        <f>'290иные ВнеБ'!F28</f>
        <v>0</v>
      </c>
      <c r="K58" s="34"/>
      <c r="P58" s="285"/>
      <c r="R58" s="285"/>
      <c r="S58" s="285"/>
      <c r="T58" s="285"/>
      <c r="U58" s="285"/>
      <c r="V58" s="285"/>
      <c r="W58" s="285"/>
    </row>
    <row r="59" spans="1:23" s="26" customFormat="1" ht="72" hidden="1">
      <c r="A59" s="33" t="s">
        <v>66</v>
      </c>
      <c r="B59" s="31">
        <v>234</v>
      </c>
      <c r="C59" s="31">
        <v>860</v>
      </c>
      <c r="D59" s="318">
        <f t="shared" si="8"/>
        <v>0</v>
      </c>
      <c r="E59" s="317"/>
      <c r="F59" s="317"/>
      <c r="G59" s="317"/>
      <c r="H59" s="317"/>
      <c r="I59" s="317"/>
      <c r="J59" s="428"/>
      <c r="K59" s="34"/>
      <c r="P59" s="285"/>
      <c r="R59" s="285"/>
      <c r="S59" s="285"/>
      <c r="T59" s="285"/>
      <c r="U59" s="285"/>
      <c r="V59" s="285"/>
      <c r="W59" s="285"/>
    </row>
    <row r="60" spans="1:23" s="26" customFormat="1" ht="21" hidden="1">
      <c r="A60" s="33"/>
      <c r="B60" s="31"/>
      <c r="C60" s="31"/>
      <c r="D60" s="318">
        <f t="shared" si="8"/>
        <v>0</v>
      </c>
      <c r="E60" s="317"/>
      <c r="F60" s="317"/>
      <c r="G60" s="317"/>
      <c r="H60" s="317"/>
      <c r="I60" s="317"/>
      <c r="J60" s="428"/>
      <c r="K60" s="34"/>
      <c r="P60" s="285"/>
      <c r="R60" s="285"/>
      <c r="S60" s="285"/>
      <c r="T60" s="285"/>
      <c r="U60" s="285"/>
      <c r="V60" s="285"/>
      <c r="W60" s="285"/>
    </row>
    <row r="61" spans="1:23" s="26" customFormat="1" ht="33.75" customHeight="1" hidden="1">
      <c r="A61" s="33" t="s">
        <v>324</v>
      </c>
      <c r="B61" s="31">
        <v>240</v>
      </c>
      <c r="C61" s="31">
        <v>600</v>
      </c>
      <c r="D61" s="318">
        <f t="shared" si="8"/>
        <v>0</v>
      </c>
      <c r="E61" s="317"/>
      <c r="F61" s="317"/>
      <c r="G61" s="317"/>
      <c r="H61" s="317"/>
      <c r="I61" s="317"/>
      <c r="J61" s="428"/>
      <c r="K61" s="34"/>
      <c r="P61" s="285"/>
      <c r="R61" s="285"/>
      <c r="S61" s="285"/>
      <c r="T61" s="285"/>
      <c r="U61" s="285"/>
      <c r="V61" s="285"/>
      <c r="W61" s="285"/>
    </row>
    <row r="62" spans="1:23" s="26" customFormat="1" ht="21" hidden="1">
      <c r="A62" s="33"/>
      <c r="B62" s="31"/>
      <c r="C62" s="31"/>
      <c r="D62" s="318">
        <f t="shared" si="8"/>
        <v>0</v>
      </c>
      <c r="E62" s="317"/>
      <c r="F62" s="317"/>
      <c r="G62" s="317"/>
      <c r="H62" s="317"/>
      <c r="I62" s="317"/>
      <c r="J62" s="428"/>
      <c r="K62" s="34"/>
      <c r="P62" s="285"/>
      <c r="R62" s="285"/>
      <c r="S62" s="285"/>
      <c r="T62" s="285"/>
      <c r="U62" s="285"/>
      <c r="V62" s="285"/>
      <c r="W62" s="285"/>
    </row>
    <row r="63" spans="1:23" s="26" customFormat="1" ht="72" hidden="1">
      <c r="A63" s="33" t="s">
        <v>67</v>
      </c>
      <c r="B63" s="31">
        <v>241</v>
      </c>
      <c r="C63" s="31">
        <v>400</v>
      </c>
      <c r="D63" s="318">
        <f>SUM(D64:D65)</f>
        <v>0</v>
      </c>
      <c r="E63" s="317">
        <f aca="true" t="shared" si="9" ref="E63:K63">SUM(E64:E65)</f>
        <v>0</v>
      </c>
      <c r="F63" s="317"/>
      <c r="G63" s="317">
        <f t="shared" si="9"/>
        <v>0</v>
      </c>
      <c r="H63" s="317">
        <f t="shared" si="9"/>
        <v>0</v>
      </c>
      <c r="I63" s="317">
        <f t="shared" si="9"/>
        <v>0</v>
      </c>
      <c r="J63" s="428">
        <f t="shared" si="9"/>
        <v>0</v>
      </c>
      <c r="K63" s="34">
        <f t="shared" si="9"/>
        <v>0</v>
      </c>
      <c r="P63" s="285"/>
      <c r="R63" s="285"/>
      <c r="S63" s="285"/>
      <c r="T63" s="285"/>
      <c r="U63" s="285"/>
      <c r="V63" s="285"/>
      <c r="W63" s="285"/>
    </row>
    <row r="64" spans="1:23" s="26" customFormat="1" ht="112.5" customHeight="1" hidden="1">
      <c r="A64" s="35" t="s">
        <v>325</v>
      </c>
      <c r="B64" s="31">
        <v>242</v>
      </c>
      <c r="C64" s="31">
        <v>416</v>
      </c>
      <c r="D64" s="318">
        <f t="shared" si="8"/>
        <v>0</v>
      </c>
      <c r="E64" s="317"/>
      <c r="F64" s="317"/>
      <c r="G64" s="317"/>
      <c r="H64" s="317"/>
      <c r="I64" s="317"/>
      <c r="J64" s="428"/>
      <c r="K64" s="34"/>
      <c r="P64" s="285"/>
      <c r="R64" s="285"/>
      <c r="S64" s="285"/>
      <c r="T64" s="285"/>
      <c r="U64" s="285"/>
      <c r="V64" s="285"/>
      <c r="W64" s="285"/>
    </row>
    <row r="65" spans="1:23" s="26" customFormat="1" ht="108" hidden="1">
      <c r="A65" s="33" t="s">
        <v>326</v>
      </c>
      <c r="B65" s="31">
        <v>243</v>
      </c>
      <c r="C65" s="31">
        <v>417</v>
      </c>
      <c r="D65" s="318">
        <f t="shared" si="8"/>
        <v>0</v>
      </c>
      <c r="E65" s="317"/>
      <c r="F65" s="317"/>
      <c r="G65" s="317"/>
      <c r="H65" s="317"/>
      <c r="I65" s="317"/>
      <c r="J65" s="428"/>
      <c r="K65" s="34"/>
      <c r="P65" s="285"/>
      <c r="R65" s="285"/>
      <c r="S65" s="285"/>
      <c r="T65" s="285"/>
      <c r="U65" s="285"/>
      <c r="V65" s="285"/>
      <c r="W65" s="285"/>
    </row>
    <row r="66" spans="1:23" s="26" customFormat="1" ht="21" hidden="1">
      <c r="A66" s="33"/>
      <c r="B66" s="31"/>
      <c r="C66" s="31"/>
      <c r="D66" s="318">
        <f t="shared" si="8"/>
        <v>0</v>
      </c>
      <c r="E66" s="317"/>
      <c r="F66" s="317"/>
      <c r="G66" s="317"/>
      <c r="H66" s="317"/>
      <c r="I66" s="317"/>
      <c r="J66" s="317"/>
      <c r="K66" s="34"/>
      <c r="P66" s="285"/>
      <c r="R66" s="285"/>
      <c r="S66" s="285"/>
      <c r="T66" s="285"/>
      <c r="U66" s="285"/>
      <c r="V66" s="285"/>
      <c r="W66" s="285"/>
    </row>
    <row r="67" spans="1:23" s="26" customFormat="1" ht="36">
      <c r="A67" s="33" t="s">
        <v>327</v>
      </c>
      <c r="B67" s="31">
        <v>260</v>
      </c>
      <c r="C67" s="31" t="s">
        <v>63</v>
      </c>
      <c r="D67" s="318">
        <f>SUM(E67:J67)</f>
        <v>10174389.206389999</v>
      </c>
      <c r="E67" s="317">
        <f aca="true" t="shared" si="10" ref="E67:K67">E70</f>
        <v>637599.99915</v>
      </c>
      <c r="F67" s="317"/>
      <c r="G67" s="317">
        <f t="shared" si="10"/>
        <v>52400</v>
      </c>
      <c r="H67" s="317">
        <f t="shared" si="10"/>
        <v>0</v>
      </c>
      <c r="I67" s="317">
        <f t="shared" si="10"/>
        <v>4275654.20962</v>
      </c>
      <c r="J67" s="317">
        <f t="shared" si="10"/>
        <v>5208734.99762</v>
      </c>
      <c r="K67" s="34">
        <f t="shared" si="10"/>
        <v>0</v>
      </c>
      <c r="P67" s="285"/>
      <c r="R67" s="285"/>
      <c r="S67" s="285"/>
      <c r="T67" s="285"/>
      <c r="U67" s="285"/>
      <c r="V67" s="285"/>
      <c r="W67" s="285"/>
    </row>
    <row r="68" spans="1:23" s="26" customFormat="1" ht="36" hidden="1">
      <c r="A68" s="33" t="s">
        <v>328</v>
      </c>
      <c r="B68" s="31">
        <v>261</v>
      </c>
      <c r="C68" s="31">
        <v>241</v>
      </c>
      <c r="D68" s="318">
        <f t="shared" si="8"/>
        <v>0</v>
      </c>
      <c r="E68" s="317"/>
      <c r="F68" s="317"/>
      <c r="G68" s="317"/>
      <c r="H68" s="317"/>
      <c r="I68" s="317"/>
      <c r="J68" s="317"/>
      <c r="K68" s="34"/>
      <c r="P68" s="285"/>
      <c r="R68" s="285"/>
      <c r="S68" s="285"/>
      <c r="T68" s="285"/>
      <c r="U68" s="285"/>
      <c r="V68" s="285"/>
      <c r="W68" s="285"/>
    </row>
    <row r="69" spans="1:23" s="26" customFormat="1" ht="75" customHeight="1" hidden="1">
      <c r="A69" s="33" t="s">
        <v>329</v>
      </c>
      <c r="B69" s="31">
        <v>262</v>
      </c>
      <c r="C69" s="31">
        <v>243</v>
      </c>
      <c r="D69" s="318">
        <f t="shared" si="8"/>
        <v>0</v>
      </c>
      <c r="E69" s="317"/>
      <c r="F69" s="317"/>
      <c r="G69" s="317"/>
      <c r="H69" s="317"/>
      <c r="I69" s="317"/>
      <c r="J69" s="317"/>
      <c r="K69" s="34"/>
      <c r="P69" s="285"/>
      <c r="R69" s="285"/>
      <c r="S69" s="285"/>
      <c r="T69" s="285"/>
      <c r="U69" s="285"/>
      <c r="V69" s="285"/>
      <c r="W69" s="285"/>
    </row>
    <row r="70" spans="1:23" s="26" customFormat="1" ht="81.75" customHeight="1">
      <c r="A70" s="33" t="s">
        <v>68</v>
      </c>
      <c r="B70" s="31">
        <v>263</v>
      </c>
      <c r="C70" s="31">
        <v>244</v>
      </c>
      <c r="D70" s="318">
        <f>SUM(D71:D81)</f>
        <v>10174389.20639</v>
      </c>
      <c r="E70" s="317">
        <f aca="true" t="shared" si="11" ref="E70:K70">SUM(E71:E81)</f>
        <v>637599.99915</v>
      </c>
      <c r="F70" s="317"/>
      <c r="G70" s="317">
        <f t="shared" si="11"/>
        <v>52400</v>
      </c>
      <c r="H70" s="317">
        <f t="shared" si="11"/>
        <v>0</v>
      </c>
      <c r="I70" s="317">
        <f>SUM(I71:I81)</f>
        <v>4275654.20962</v>
      </c>
      <c r="J70" s="317">
        <f>SUM(J71:J81)</f>
        <v>5208734.99762</v>
      </c>
      <c r="K70" s="34">
        <f t="shared" si="11"/>
        <v>0</v>
      </c>
      <c r="P70" s="285"/>
      <c r="R70" s="285"/>
      <c r="S70" s="285"/>
      <c r="T70" s="285"/>
      <c r="U70" s="285"/>
      <c r="V70" s="285"/>
      <c r="W70" s="285"/>
    </row>
    <row r="71" spans="1:23" s="26" customFormat="1" ht="21">
      <c r="A71" s="35" t="s">
        <v>330</v>
      </c>
      <c r="B71" s="31">
        <v>264</v>
      </c>
      <c r="C71" s="31">
        <v>244</v>
      </c>
      <c r="D71" s="318">
        <f t="shared" si="8"/>
        <v>277029.82</v>
      </c>
      <c r="E71" s="317">
        <f>'221 Б'!F22</f>
        <v>0</v>
      </c>
      <c r="F71" s="317"/>
      <c r="G71" s="317"/>
      <c r="H71" s="317"/>
      <c r="I71" s="317">
        <f>'221 ОМС'!F23</f>
        <v>247029.82</v>
      </c>
      <c r="J71" s="317">
        <f>'221 ВнеБ'!F22</f>
        <v>30000</v>
      </c>
      <c r="K71" s="34"/>
      <c r="P71" s="285"/>
      <c r="R71" s="285"/>
      <c r="S71" s="285"/>
      <c r="T71" s="285"/>
      <c r="U71" s="285"/>
      <c r="V71" s="285"/>
      <c r="W71" s="285"/>
    </row>
    <row r="72" spans="1:23" s="26" customFormat="1" ht="21">
      <c r="A72" s="33" t="s">
        <v>331</v>
      </c>
      <c r="B72" s="31">
        <v>265</v>
      </c>
      <c r="C72" s="31">
        <v>244</v>
      </c>
      <c r="D72" s="318">
        <f t="shared" si="8"/>
        <v>30000</v>
      </c>
      <c r="E72" s="317"/>
      <c r="F72" s="317"/>
      <c r="G72" s="317"/>
      <c r="H72" s="317"/>
      <c r="I72" s="317"/>
      <c r="J72" s="317">
        <v>30000</v>
      </c>
      <c r="K72" s="34"/>
      <c r="P72" s="285"/>
      <c r="R72" s="285"/>
      <c r="S72" s="285"/>
      <c r="T72" s="285"/>
      <c r="U72" s="285"/>
      <c r="V72" s="285"/>
      <c r="W72" s="285"/>
    </row>
    <row r="73" spans="1:23" s="26" customFormat="1" ht="21">
      <c r="A73" s="33" t="s">
        <v>332</v>
      </c>
      <c r="B73" s="31">
        <v>266</v>
      </c>
      <c r="C73" s="31">
        <v>244</v>
      </c>
      <c r="D73" s="318">
        <f t="shared" si="8"/>
        <v>752333.59639</v>
      </c>
      <c r="E73" s="317">
        <f>'244(223)Б'!E21</f>
        <v>32395.469149999994</v>
      </c>
      <c r="F73" s="317"/>
      <c r="G73" s="317"/>
      <c r="H73" s="317"/>
      <c r="I73" s="317">
        <f>'244(223)ОМС'!E21</f>
        <v>529835.2796199999</v>
      </c>
      <c r="J73" s="317">
        <f>'244(223)ВнеБ'!E21</f>
        <v>190102.84762000002</v>
      </c>
      <c r="K73" s="34"/>
      <c r="P73" s="285"/>
      <c r="R73" s="285"/>
      <c r="S73" s="285"/>
      <c r="T73" s="285"/>
      <c r="U73" s="285"/>
      <c r="V73" s="285"/>
      <c r="W73" s="285"/>
    </row>
    <row r="74" spans="1:23" s="26" customFormat="1" ht="36">
      <c r="A74" s="33" t="s">
        <v>333</v>
      </c>
      <c r="B74" s="31">
        <v>267</v>
      </c>
      <c r="C74" s="31">
        <v>244</v>
      </c>
      <c r="D74" s="318">
        <f t="shared" si="8"/>
        <v>1149600</v>
      </c>
      <c r="E74" s="317"/>
      <c r="F74" s="317"/>
      <c r="G74" s="317"/>
      <c r="H74" s="317"/>
      <c r="I74" s="317"/>
      <c r="J74" s="317">
        <v>1149600</v>
      </c>
      <c r="K74" s="34"/>
      <c r="P74" s="285"/>
      <c r="R74" s="285"/>
      <c r="S74" s="285"/>
      <c r="T74" s="285"/>
      <c r="U74" s="285"/>
      <c r="V74" s="285"/>
      <c r="W74" s="285"/>
    </row>
    <row r="75" spans="1:23" s="26" customFormat="1" ht="36">
      <c r="A75" s="33" t="s">
        <v>334</v>
      </c>
      <c r="B75" s="31">
        <v>268</v>
      </c>
      <c r="C75" s="31">
        <v>244</v>
      </c>
      <c r="D75" s="318">
        <f t="shared" si="8"/>
        <v>484371.74</v>
      </c>
      <c r="E75" s="317">
        <f>'225Б'!F44</f>
        <v>4254.87</v>
      </c>
      <c r="F75" s="317"/>
      <c r="G75" s="317"/>
      <c r="H75" s="317"/>
      <c r="I75" s="317">
        <f>'225 ОМС'!F41</f>
        <v>311400.87</v>
      </c>
      <c r="J75" s="317">
        <f>'225 ВнеБ'!F44</f>
        <v>168716</v>
      </c>
      <c r="K75" s="34"/>
      <c r="P75" s="285"/>
      <c r="R75" s="285"/>
      <c r="S75" s="285"/>
      <c r="T75" s="285"/>
      <c r="U75" s="285"/>
      <c r="V75" s="285"/>
      <c r="W75" s="285"/>
    </row>
    <row r="76" spans="1:23" s="26" customFormat="1" ht="21">
      <c r="A76" s="33" t="s">
        <v>335</v>
      </c>
      <c r="B76" s="31">
        <v>269</v>
      </c>
      <c r="C76" s="31">
        <v>244</v>
      </c>
      <c r="D76" s="318">
        <f t="shared" si="8"/>
        <v>2702330.9</v>
      </c>
      <c r="E76" s="317">
        <f>'226 Б'!F45</f>
        <v>394443.66</v>
      </c>
      <c r="F76" s="317"/>
      <c r="G76" s="317">
        <v>52400</v>
      </c>
      <c r="H76" s="317"/>
      <c r="I76" s="317">
        <f>'226 ОМС'!F49</f>
        <v>1056587.24</v>
      </c>
      <c r="J76" s="317">
        <f>'226 ВнеБ'!F46</f>
        <v>1198900</v>
      </c>
      <c r="K76" s="34"/>
      <c r="P76" s="285"/>
      <c r="R76" s="285"/>
      <c r="S76" s="285"/>
      <c r="T76" s="285"/>
      <c r="U76" s="285"/>
      <c r="V76" s="285"/>
      <c r="W76" s="285"/>
    </row>
    <row r="77" spans="1:23" s="26" customFormat="1" ht="21">
      <c r="A77" s="33" t="s">
        <v>694</v>
      </c>
      <c r="B77" s="31"/>
      <c r="C77" s="31">
        <v>244</v>
      </c>
      <c r="D77" s="318">
        <f t="shared" si="8"/>
        <v>10458</v>
      </c>
      <c r="E77" s="317"/>
      <c r="F77" s="317"/>
      <c r="G77" s="317"/>
      <c r="H77" s="317"/>
      <c r="I77" s="317">
        <v>6058</v>
      </c>
      <c r="J77" s="317">
        <v>4400</v>
      </c>
      <c r="K77" s="34"/>
      <c r="P77" s="285"/>
      <c r="R77" s="285"/>
      <c r="S77" s="285"/>
      <c r="T77" s="285"/>
      <c r="U77" s="285"/>
      <c r="V77" s="285"/>
      <c r="W77" s="285"/>
    </row>
    <row r="78" spans="1:23" s="26" customFormat="1" ht="21" hidden="1">
      <c r="A78" s="33" t="s">
        <v>472</v>
      </c>
      <c r="B78" s="31">
        <v>290</v>
      </c>
      <c r="C78" s="31"/>
      <c r="D78" s="318">
        <f>J78</f>
        <v>0</v>
      </c>
      <c r="E78" s="317"/>
      <c r="F78" s="317"/>
      <c r="G78" s="317"/>
      <c r="H78" s="317"/>
      <c r="I78" s="317"/>
      <c r="J78" s="317"/>
      <c r="K78" s="34"/>
      <c r="P78" s="285"/>
      <c r="R78" s="285"/>
      <c r="S78" s="285"/>
      <c r="T78" s="285"/>
      <c r="U78" s="285"/>
      <c r="V78" s="285"/>
      <c r="W78" s="285"/>
    </row>
    <row r="79" spans="1:23" s="26" customFormat="1" ht="36">
      <c r="A79" s="33" t="s">
        <v>336</v>
      </c>
      <c r="B79" s="31">
        <v>270</v>
      </c>
      <c r="C79" s="31">
        <v>244</v>
      </c>
      <c r="D79" s="318">
        <f t="shared" si="8"/>
        <v>609000</v>
      </c>
      <c r="E79" s="317">
        <f>'310Б'!E19</f>
        <v>23000</v>
      </c>
      <c r="F79" s="317"/>
      <c r="G79" s="317"/>
      <c r="H79" s="317"/>
      <c r="I79" s="317">
        <f>'310 ОМС'!E32</f>
        <v>20000</v>
      </c>
      <c r="J79" s="317">
        <f>'310 ВнеБ'!E24</f>
        <v>566000</v>
      </c>
      <c r="K79" s="34"/>
      <c r="P79" s="285"/>
      <c r="R79" s="285"/>
      <c r="S79" s="285"/>
      <c r="T79" s="285"/>
      <c r="U79" s="285"/>
      <c r="V79" s="285"/>
      <c r="W79" s="285"/>
    </row>
    <row r="80" spans="1:23" s="26" customFormat="1" ht="36" hidden="1">
      <c r="A80" s="33" t="s">
        <v>337</v>
      </c>
      <c r="B80" s="31">
        <v>271</v>
      </c>
      <c r="C80" s="31"/>
      <c r="D80" s="318">
        <f t="shared" si="8"/>
        <v>0</v>
      </c>
      <c r="E80" s="317"/>
      <c r="F80" s="317"/>
      <c r="G80" s="317"/>
      <c r="H80" s="317"/>
      <c r="I80" s="317"/>
      <c r="J80" s="317"/>
      <c r="K80" s="34"/>
      <c r="P80" s="285"/>
      <c r="R80" s="285"/>
      <c r="S80" s="285"/>
      <c r="T80" s="285"/>
      <c r="U80" s="285"/>
      <c r="V80" s="285"/>
      <c r="W80" s="285"/>
    </row>
    <row r="81" spans="1:23" s="26" customFormat="1" ht="36">
      <c r="A81" s="33" t="s">
        <v>338</v>
      </c>
      <c r="B81" s="31">
        <v>272</v>
      </c>
      <c r="C81" s="31">
        <v>244</v>
      </c>
      <c r="D81" s="318">
        <f t="shared" si="8"/>
        <v>4159265.15</v>
      </c>
      <c r="E81" s="317">
        <f>'340 Б'!D31</f>
        <v>183506</v>
      </c>
      <c r="F81" s="317"/>
      <c r="G81" s="317"/>
      <c r="H81" s="317"/>
      <c r="I81" s="317">
        <f>'340 ОМС'!D31</f>
        <v>2104743</v>
      </c>
      <c r="J81" s="317">
        <f>'340 ВнеБ'!D31</f>
        <v>1871016.15</v>
      </c>
      <c r="K81" s="34"/>
      <c r="P81" s="285"/>
      <c r="R81" s="285"/>
      <c r="S81" s="285"/>
      <c r="T81" s="285"/>
      <c r="U81" s="285"/>
      <c r="V81" s="285"/>
      <c r="W81" s="285"/>
    </row>
    <row r="82" spans="1:23" s="25" customFormat="1" ht="34.5">
      <c r="A82" s="10" t="s">
        <v>69</v>
      </c>
      <c r="B82" s="18">
        <v>300</v>
      </c>
      <c r="C82" s="18" t="s">
        <v>63</v>
      </c>
      <c r="D82" s="28">
        <f aca="true" t="shared" si="12" ref="D82:K82">SUM(D83:D85)</f>
        <v>38246480</v>
      </c>
      <c r="E82" s="318">
        <f t="shared" si="12"/>
        <v>2404600</v>
      </c>
      <c r="F82" s="318"/>
      <c r="G82" s="28">
        <f t="shared" si="12"/>
        <v>305600</v>
      </c>
      <c r="H82" s="28">
        <f t="shared" si="12"/>
        <v>0</v>
      </c>
      <c r="I82" s="28">
        <f t="shared" si="12"/>
        <v>22260000</v>
      </c>
      <c r="J82" s="28">
        <f>SUM(J83:J85)</f>
        <v>13276280</v>
      </c>
      <c r="K82" s="28">
        <f t="shared" si="12"/>
        <v>0</v>
      </c>
      <c r="N82" s="216"/>
      <c r="O82" s="216"/>
      <c r="P82" s="304"/>
      <c r="Q82" s="216"/>
      <c r="R82" s="304"/>
      <c r="S82" s="304"/>
      <c r="T82" s="304"/>
      <c r="U82" s="304"/>
      <c r="V82" s="284"/>
      <c r="W82" s="284"/>
    </row>
    <row r="83" spans="1:11" ht="36">
      <c r="A83" s="2" t="s">
        <v>339</v>
      </c>
      <c r="B83" s="8">
        <v>310</v>
      </c>
      <c r="C83" s="8">
        <v>510</v>
      </c>
      <c r="D83" s="28">
        <f>D21</f>
        <v>38246480</v>
      </c>
      <c r="E83" s="317">
        <f>E21</f>
        <v>2404600</v>
      </c>
      <c r="F83" s="317"/>
      <c r="G83" s="29">
        <v>305600</v>
      </c>
      <c r="H83" s="29">
        <f>H21</f>
        <v>0</v>
      </c>
      <c r="I83" s="29">
        <f>I21+I20</f>
        <v>22260000</v>
      </c>
      <c r="J83" s="29">
        <f>J21+J20</f>
        <v>13276280</v>
      </c>
      <c r="K83" s="29"/>
    </row>
    <row r="84" spans="1:11" ht="21" hidden="1">
      <c r="A84" s="2" t="s">
        <v>340</v>
      </c>
      <c r="B84" s="8">
        <v>311</v>
      </c>
      <c r="C84" s="8"/>
      <c r="D84" s="28">
        <f t="shared" si="8"/>
        <v>0</v>
      </c>
      <c r="E84" s="29"/>
      <c r="F84" s="29"/>
      <c r="G84" s="29"/>
      <c r="H84" s="29"/>
      <c r="I84" s="29"/>
      <c r="J84" s="29"/>
      <c r="K84" s="29"/>
    </row>
    <row r="85" spans="1:11" ht="21" hidden="1">
      <c r="A85" s="2"/>
      <c r="B85" s="8"/>
      <c r="C85" s="8"/>
      <c r="D85" s="28">
        <f t="shared" si="8"/>
        <v>0</v>
      </c>
      <c r="E85" s="29"/>
      <c r="F85" s="29"/>
      <c r="G85" s="29"/>
      <c r="H85" s="29"/>
      <c r="I85" s="29"/>
      <c r="J85" s="29"/>
      <c r="K85" s="29"/>
    </row>
    <row r="86" spans="1:23" s="25" customFormat="1" ht="36" customHeight="1">
      <c r="A86" s="10" t="s">
        <v>70</v>
      </c>
      <c r="B86" s="18">
        <v>400</v>
      </c>
      <c r="C86" s="18"/>
      <c r="D86" s="28">
        <f>SUM(D87:D89)</f>
        <v>38246479.99639</v>
      </c>
      <c r="E86" s="28">
        <f aca="true" t="shared" si="13" ref="E86:K86">SUM(E87:E89)</f>
        <v>2404599.99515</v>
      </c>
      <c r="F86" s="28"/>
      <c r="G86" s="28">
        <f t="shared" si="13"/>
        <v>305600</v>
      </c>
      <c r="H86" s="28">
        <f t="shared" si="13"/>
        <v>0</v>
      </c>
      <c r="I86" s="28">
        <f>SUM(I87:I89)</f>
        <v>22260000.00162</v>
      </c>
      <c r="J86" s="28">
        <f>SUM(J87:J89)</f>
        <v>13276279.99962</v>
      </c>
      <c r="K86" s="28">
        <f t="shared" si="13"/>
        <v>0</v>
      </c>
      <c r="N86" s="216"/>
      <c r="O86" s="216"/>
      <c r="P86" s="304"/>
      <c r="Q86" s="216"/>
      <c r="R86" s="304"/>
      <c r="S86" s="304"/>
      <c r="T86" s="304"/>
      <c r="U86" s="304"/>
      <c r="V86" s="284"/>
      <c r="W86" s="284"/>
    </row>
    <row r="87" spans="1:11" ht="37.5" customHeight="1">
      <c r="A87" s="2" t="s">
        <v>341</v>
      </c>
      <c r="B87" s="8">
        <v>410</v>
      </c>
      <c r="C87" s="8">
        <v>610</v>
      </c>
      <c r="D87" s="28">
        <f>D37</f>
        <v>38246479.99639</v>
      </c>
      <c r="E87" s="29">
        <f>E37</f>
        <v>2404599.99515</v>
      </c>
      <c r="F87" s="29"/>
      <c r="G87" s="29">
        <v>305600</v>
      </c>
      <c r="H87" s="29">
        <f>H37</f>
        <v>0</v>
      </c>
      <c r="I87" s="29">
        <f>I37</f>
        <v>22260000.00162</v>
      </c>
      <c r="J87" s="29">
        <f>J37</f>
        <v>13276279.99962</v>
      </c>
      <c r="K87" s="29"/>
    </row>
    <row r="88" spans="1:11" ht="21" hidden="1">
      <c r="A88" s="2" t="s">
        <v>342</v>
      </c>
      <c r="B88" s="8">
        <v>411</v>
      </c>
      <c r="C88" s="8"/>
      <c r="D88" s="28">
        <f t="shared" si="8"/>
        <v>0</v>
      </c>
      <c r="E88" s="29"/>
      <c r="F88" s="29"/>
      <c r="G88" s="29"/>
      <c r="H88" s="29"/>
      <c r="I88" s="29"/>
      <c r="J88" s="29"/>
      <c r="K88" s="29"/>
    </row>
    <row r="89" spans="1:11" ht="21" hidden="1">
      <c r="A89" s="2"/>
      <c r="B89" s="8"/>
      <c r="C89" s="8"/>
      <c r="D89" s="28">
        <f t="shared" si="8"/>
        <v>0</v>
      </c>
      <c r="E89" s="29"/>
      <c r="F89" s="29"/>
      <c r="G89" s="29"/>
      <c r="H89" s="29"/>
      <c r="I89" s="29"/>
      <c r="J89" s="29"/>
      <c r="K89" s="29"/>
    </row>
    <row r="90" spans="1:11" ht="33" customHeight="1">
      <c r="A90" s="10" t="s">
        <v>71</v>
      </c>
      <c r="B90" s="18">
        <v>500</v>
      </c>
      <c r="C90" s="18" t="s">
        <v>63</v>
      </c>
      <c r="D90" s="332">
        <f>D20+D21-D37</f>
        <v>0.0036100000143051147</v>
      </c>
      <c r="E90" s="332">
        <f>E20+E21-E37</f>
        <v>0.0048500001430511475</v>
      </c>
      <c r="F90" s="331"/>
      <c r="G90" s="332">
        <f>G20+G21-G37</f>
        <v>0</v>
      </c>
      <c r="H90" s="332">
        <f>H20+H21-H37+H82-H86</f>
        <v>0</v>
      </c>
      <c r="I90" s="332">
        <f>I20+I21-I37</f>
        <v>-0.0016199983656406403</v>
      </c>
      <c r="J90" s="332">
        <f>J20+J21-J37</f>
        <v>0.0003800000995397568</v>
      </c>
      <c r="K90" s="28">
        <f>K20+K21-K37+K82-K86</f>
        <v>0</v>
      </c>
    </row>
    <row r="91" spans="1:23" s="153" customFormat="1" ht="21">
      <c r="A91" s="219" t="s">
        <v>423</v>
      </c>
      <c r="B91" s="219"/>
      <c r="C91" s="219"/>
      <c r="D91" s="219"/>
      <c r="E91" s="220"/>
      <c r="F91" s="220"/>
      <c r="G91" s="220"/>
      <c r="H91" s="220"/>
      <c r="I91" s="410"/>
      <c r="J91" s="220"/>
      <c r="K91" s="220"/>
      <c r="N91" s="303"/>
      <c r="O91" s="303"/>
      <c r="P91" s="285"/>
      <c r="Q91" s="303"/>
      <c r="R91" s="285"/>
      <c r="S91" s="285"/>
      <c r="T91" s="285"/>
      <c r="U91" s="285"/>
      <c r="V91" s="283"/>
      <c r="W91" s="283"/>
    </row>
    <row r="92" ht="21">
      <c r="A92" s="20"/>
    </row>
    <row r="93" spans="1:23" s="3" customFormat="1" ht="21">
      <c r="A93" s="3" t="s">
        <v>589</v>
      </c>
      <c r="D93" s="3" t="s">
        <v>390</v>
      </c>
      <c r="G93" s="3" t="s">
        <v>754</v>
      </c>
      <c r="N93" s="183"/>
      <c r="O93" s="183"/>
      <c r="P93" s="307"/>
      <c r="Q93" s="183"/>
      <c r="R93" s="307"/>
      <c r="S93" s="307"/>
      <c r="T93" s="307"/>
      <c r="U93" s="307"/>
      <c r="V93" s="286"/>
      <c r="W93" s="286"/>
    </row>
    <row r="94" spans="1:23" s="3" customFormat="1" ht="21">
      <c r="A94" s="3" t="str">
        <f>таб1!A48</f>
        <v>тел.   8(86168) 5-37-62                                         (подпись)                                               (расшифровка подписи)</v>
      </c>
      <c r="G94" s="3" t="s">
        <v>402</v>
      </c>
      <c r="N94" s="183"/>
      <c r="O94" s="183"/>
      <c r="P94" s="307"/>
      <c r="Q94" s="183"/>
      <c r="R94" s="307"/>
      <c r="S94" s="307"/>
      <c r="T94" s="307"/>
      <c r="U94" s="307"/>
      <c r="V94" s="286"/>
      <c r="W94" s="286"/>
    </row>
    <row r="95" spans="4:23" s="3" customFormat="1" ht="21">
      <c r="D95" s="61"/>
      <c r="N95" s="183"/>
      <c r="O95" s="183"/>
      <c r="P95" s="307"/>
      <c r="Q95" s="183"/>
      <c r="R95" s="307"/>
      <c r="S95" s="307"/>
      <c r="T95" s="307"/>
      <c r="U95" s="307"/>
      <c r="V95" s="286"/>
      <c r="W95" s="286"/>
    </row>
    <row r="96" spans="1:23" s="3" customFormat="1" ht="21">
      <c r="A96" s="3" t="s">
        <v>245</v>
      </c>
      <c r="D96" s="61" t="s">
        <v>390</v>
      </c>
      <c r="G96" s="3" t="s">
        <v>598</v>
      </c>
      <c r="N96" s="183"/>
      <c r="O96" s="183"/>
      <c r="P96" s="307"/>
      <c r="Q96" s="183"/>
      <c r="R96" s="307"/>
      <c r="S96" s="307"/>
      <c r="T96" s="307"/>
      <c r="U96" s="307"/>
      <c r="V96" s="286"/>
      <c r="W96" s="286"/>
    </row>
    <row r="97" spans="1:23" s="3" customFormat="1" ht="21">
      <c r="A97" s="3" t="str">
        <f>A94</f>
        <v>тел.   8(86168) 5-37-62                                         (подпись)                                               (расшифровка подписи)</v>
      </c>
      <c r="D97" s="3" t="s">
        <v>29</v>
      </c>
      <c r="G97" s="3" t="s">
        <v>402</v>
      </c>
      <c r="N97" s="183"/>
      <c r="O97" s="183"/>
      <c r="P97" s="307"/>
      <c r="Q97" s="183"/>
      <c r="R97" s="307"/>
      <c r="S97" s="307"/>
      <c r="T97" s="307"/>
      <c r="U97" s="307"/>
      <c r="V97" s="286"/>
      <c r="W97" s="286"/>
    </row>
    <row r="98" spans="4:23" s="3" customFormat="1" ht="21">
      <c r="D98" s="61"/>
      <c r="N98" s="183"/>
      <c r="O98" s="183"/>
      <c r="P98" s="307"/>
      <c r="Q98" s="183"/>
      <c r="R98" s="307"/>
      <c r="S98" s="307"/>
      <c r="T98" s="307"/>
      <c r="U98" s="307"/>
      <c r="V98" s="286"/>
      <c r="W98" s="286"/>
    </row>
    <row r="99" spans="1:23" s="3" customFormat="1" ht="21">
      <c r="A99" s="3" t="s">
        <v>391</v>
      </c>
      <c r="D99" s="61"/>
      <c r="N99" s="183"/>
      <c r="O99" s="183"/>
      <c r="P99" s="307"/>
      <c r="Q99" s="183"/>
      <c r="R99" s="307"/>
      <c r="S99" s="307"/>
      <c r="T99" s="307"/>
      <c r="U99" s="307"/>
      <c r="V99" s="286"/>
      <c r="W99" s="286"/>
    </row>
  </sheetData>
  <sheetProtection/>
  <mergeCells count="15">
    <mergeCell ref="D8:G8"/>
    <mergeCell ref="A4:K4"/>
    <mergeCell ref="A7:K7"/>
    <mergeCell ref="A9:A18"/>
    <mergeCell ref="B9:B18"/>
    <mergeCell ref="C9:C18"/>
    <mergeCell ref="D9:K9"/>
    <mergeCell ref="D10:D18"/>
    <mergeCell ref="E10:K10"/>
    <mergeCell ref="E11:E18"/>
    <mergeCell ref="G11:G18"/>
    <mergeCell ref="H11:H18"/>
    <mergeCell ref="I11:I18"/>
    <mergeCell ref="J11:K17"/>
    <mergeCell ref="F11:F18"/>
  </mergeCells>
  <printOptions/>
  <pageMargins left="0.31496062992125984" right="0.11811023622047245" top="0.35433070866141736" bottom="0.35433070866141736" header="0.31496062992125984" footer="0.31496062992125984"/>
  <pageSetup fitToHeight="2" fitToWidth="1" horizontalDpi="600" verticalDpi="6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1"/>
  <sheetViews>
    <sheetView view="pageBreakPreview" zoomScale="60" zoomScalePageLayoutView="0" workbookViewId="0" topLeftCell="B4">
      <selection activeCell="C27" sqref="C27"/>
    </sheetView>
  </sheetViews>
  <sheetFormatPr defaultColWidth="9.140625" defaultRowHeight="15"/>
  <cols>
    <col min="1" max="1" width="7.28125" style="6" customWidth="1"/>
    <col min="2" max="2" width="105.140625" style="6" customWidth="1"/>
    <col min="3" max="3" width="52.28125" style="3" customWidth="1"/>
    <col min="4" max="4" width="66.140625" style="6" customWidth="1"/>
    <col min="5" max="16384" width="9.140625" style="6" customWidth="1"/>
  </cols>
  <sheetData>
    <row r="1" spans="1:4" ht="18">
      <c r="A1" s="3"/>
      <c r="B1" s="3"/>
      <c r="D1" s="11" t="s">
        <v>118</v>
      </c>
    </row>
    <row r="2" spans="1:4" ht="18">
      <c r="A2" s="3"/>
      <c r="B2" s="3"/>
      <c r="D2" s="3"/>
    </row>
    <row r="3" spans="1:8" ht="71.25" customHeight="1">
      <c r="A3" s="656" t="s">
        <v>181</v>
      </c>
      <c r="B3" s="656"/>
      <c r="C3" s="656"/>
      <c r="D3" s="656"/>
      <c r="E3" s="21"/>
      <c r="F3" s="21"/>
      <c r="G3" s="21"/>
      <c r="H3" s="21"/>
    </row>
    <row r="4" spans="1:8" ht="27" customHeight="1">
      <c r="A4" s="237"/>
      <c r="B4" s="632" t="s">
        <v>596</v>
      </c>
      <c r="C4" s="632"/>
      <c r="D4" s="632"/>
      <c r="E4" s="21"/>
      <c r="F4" s="21"/>
      <c r="G4" s="21"/>
      <c r="H4" s="21"/>
    </row>
    <row r="5" spans="1:8" ht="28.5" customHeight="1">
      <c r="A5" s="237"/>
      <c r="B5" s="646" t="s">
        <v>344</v>
      </c>
      <c r="C5" s="646"/>
      <c r="D5" s="646"/>
      <c r="E5" s="21"/>
      <c r="F5" s="21"/>
      <c r="G5" s="21"/>
      <c r="H5" s="21"/>
    </row>
    <row r="6" spans="1:4" s="70" customFormat="1" ht="27.75" customHeight="1">
      <c r="A6" s="84"/>
      <c r="B6" s="632" t="s">
        <v>611</v>
      </c>
      <c r="C6" s="632"/>
      <c r="D6" s="632"/>
    </row>
    <row r="7" spans="1:4" s="70" customFormat="1" ht="19.5" customHeight="1">
      <c r="A7" s="84"/>
      <c r="B7" s="646" t="s">
        <v>252</v>
      </c>
      <c r="C7" s="646"/>
      <c r="D7" s="646"/>
    </row>
    <row r="8" spans="1:4" ht="18">
      <c r="A8" s="84"/>
      <c r="B8" s="3"/>
      <c r="D8" s="3"/>
    </row>
    <row r="9" spans="1:4" ht="57.75" customHeight="1">
      <c r="A9" s="42" t="s">
        <v>157</v>
      </c>
      <c r="B9" s="42" t="s">
        <v>180</v>
      </c>
      <c r="C9" s="233" t="s">
        <v>179</v>
      </c>
      <c r="D9" s="233" t="s">
        <v>178</v>
      </c>
    </row>
    <row r="10" spans="1:4" ht="18">
      <c r="A10" s="91">
        <v>1</v>
      </c>
      <c r="B10" s="42">
        <v>2</v>
      </c>
      <c r="C10" s="90">
        <v>3</v>
      </c>
      <c r="D10" s="119">
        <v>4</v>
      </c>
    </row>
    <row r="11" spans="1:4" s="25" customFormat="1" ht="24" customHeight="1">
      <c r="A11" s="42">
        <v>1</v>
      </c>
      <c r="B11" s="96" t="s">
        <v>347</v>
      </c>
      <c r="C11" s="170"/>
      <c r="D11" s="244">
        <f>SUM(D13:D15)</f>
        <v>1356537.82</v>
      </c>
    </row>
    <row r="12" spans="1:4" ht="18">
      <c r="A12" s="43"/>
      <c r="B12" s="96" t="s">
        <v>40</v>
      </c>
      <c r="C12" s="170"/>
      <c r="D12" s="244"/>
    </row>
    <row r="13" spans="1:4" ht="18">
      <c r="A13" s="171"/>
      <c r="B13" s="96" t="s">
        <v>177</v>
      </c>
      <c r="C13" s="170">
        <f>'111 ВнеБ(дополнит)'!J32*1000+'111 ВнеБ осн.'!J32*1000</f>
        <v>6166081</v>
      </c>
      <c r="D13" s="244">
        <f>C13*0.22</f>
        <v>1356537.82</v>
      </c>
    </row>
    <row r="14" spans="1:4" ht="18">
      <c r="A14" s="42"/>
      <c r="B14" s="96" t="s">
        <v>176</v>
      </c>
      <c r="C14" s="170"/>
      <c r="D14" s="244"/>
    </row>
    <row r="15" spans="1:4" ht="18" hidden="1">
      <c r="A15" s="43"/>
      <c r="B15" s="43"/>
      <c r="C15" s="170"/>
      <c r="D15" s="244"/>
    </row>
    <row r="16" spans="1:4" s="25" customFormat="1" ht="60" customHeight="1">
      <c r="A16" s="42">
        <v>2</v>
      </c>
      <c r="B16" s="96" t="s">
        <v>348</v>
      </c>
      <c r="C16" s="170">
        <f>C13</f>
        <v>6166081</v>
      </c>
      <c r="D16" s="244">
        <f>C16*0.029</f>
        <v>178816.34900000002</v>
      </c>
    </row>
    <row r="17" spans="1:4" ht="20.25" customHeight="1" hidden="1">
      <c r="A17" s="42"/>
      <c r="B17" s="96"/>
      <c r="C17" s="170"/>
      <c r="D17" s="244"/>
    </row>
    <row r="18" spans="1:6" s="25" customFormat="1" ht="57" customHeight="1">
      <c r="A18" s="42">
        <v>4</v>
      </c>
      <c r="B18" s="96" t="s">
        <v>175</v>
      </c>
      <c r="C18" s="170">
        <f>C13</f>
        <v>6166081</v>
      </c>
      <c r="D18" s="244">
        <f>C18*0.002</f>
        <v>12332.162</v>
      </c>
      <c r="F18" s="25">
        <v>-0.000975999049842358</v>
      </c>
    </row>
    <row r="19" spans="1:4" ht="18" hidden="1">
      <c r="A19" s="43"/>
      <c r="B19" s="43"/>
      <c r="C19" s="170"/>
      <c r="D19" s="244"/>
    </row>
    <row r="20" spans="1:4" s="25" customFormat="1" ht="39" customHeight="1">
      <c r="A20" s="42">
        <v>5</v>
      </c>
      <c r="B20" s="96" t="s">
        <v>174</v>
      </c>
      <c r="C20" s="170">
        <f>C13</f>
        <v>6166081</v>
      </c>
      <c r="D20" s="244">
        <f>C20*0.051-0.46</f>
        <v>314469.671</v>
      </c>
    </row>
    <row r="21" spans="1:4" ht="24.75" customHeight="1" hidden="1">
      <c r="A21" s="42"/>
      <c r="B21" s="96"/>
      <c r="C21" s="170"/>
      <c r="D21" s="244"/>
    </row>
    <row r="22" spans="1:4" s="25" customFormat="1" ht="18">
      <c r="A22" s="43"/>
      <c r="B22" s="96" t="s">
        <v>145</v>
      </c>
      <c r="C22" s="42" t="s">
        <v>144</v>
      </c>
      <c r="D22" s="244">
        <f>SUM(D11+D16+D18+D20)</f>
        <v>1862156.0019999999</v>
      </c>
    </row>
    <row r="25" spans="2:4" s="3" customFormat="1" ht="18">
      <c r="B25" s="3" t="s">
        <v>589</v>
      </c>
      <c r="C25" s="3" t="s">
        <v>403</v>
      </c>
      <c r="D25" s="3" t="s">
        <v>753</v>
      </c>
    </row>
    <row r="26" spans="2:4" s="3" customFormat="1" ht="18">
      <c r="B26" s="1" t="s">
        <v>608</v>
      </c>
      <c r="C26" s="3" t="s">
        <v>29</v>
      </c>
      <c r="D26" s="3" t="s">
        <v>402</v>
      </c>
    </row>
    <row r="27" s="3" customFormat="1" ht="18"/>
    <row r="28" spans="2:4" s="3" customFormat="1" ht="18">
      <c r="B28" s="3" t="s">
        <v>245</v>
      </c>
      <c r="C28" s="3" t="s">
        <v>403</v>
      </c>
      <c r="D28" s="3" t="s">
        <v>591</v>
      </c>
    </row>
    <row r="29" spans="2:4" s="3" customFormat="1" ht="18">
      <c r="B29" s="1" t="s">
        <v>608</v>
      </c>
      <c r="C29" s="3" t="s">
        <v>29</v>
      </c>
      <c r="D29" s="3" t="s">
        <v>402</v>
      </c>
    </row>
    <row r="30" s="3" customFormat="1" ht="18"/>
    <row r="31" s="3" customFormat="1" ht="18">
      <c r="B31" s="1" t="s">
        <v>404</v>
      </c>
    </row>
    <row r="32" s="3" customFormat="1" ht="18"/>
    <row r="33" s="3" customFormat="1" ht="18"/>
  </sheetData>
  <sheetProtection/>
  <mergeCells count="5">
    <mergeCell ref="A3:D3"/>
    <mergeCell ref="B4:D4"/>
    <mergeCell ref="B5:D5"/>
    <mergeCell ref="B6:D6"/>
    <mergeCell ref="B7:D7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8"/>
  <sheetViews>
    <sheetView view="pageBreakPreview" zoomScale="60" zoomScalePageLayoutView="0" workbookViewId="0" topLeftCell="A4">
      <selection activeCell="E31" sqref="E31"/>
    </sheetView>
  </sheetViews>
  <sheetFormatPr defaultColWidth="9.140625" defaultRowHeight="15"/>
  <cols>
    <col min="1" max="1" width="7.7109375" style="6" customWidth="1"/>
    <col min="2" max="2" width="67.7109375" style="6" customWidth="1"/>
    <col min="3" max="3" width="23.421875" style="6" customWidth="1"/>
    <col min="4" max="4" width="24.28125" style="6" customWidth="1"/>
    <col min="5" max="5" width="22.7109375" style="6" customWidth="1"/>
    <col min="6" max="6" width="62.8515625" style="6" customWidth="1"/>
    <col min="7" max="16384" width="9.140625" style="6" customWidth="1"/>
  </cols>
  <sheetData>
    <row r="1" spans="1:6" ht="18">
      <c r="A1" s="3"/>
      <c r="B1" s="3"/>
      <c r="C1" s="3"/>
      <c r="D1" s="3"/>
      <c r="E1" s="3"/>
      <c r="F1" s="426" t="s">
        <v>263</v>
      </c>
    </row>
    <row r="2" spans="1:6" ht="18">
      <c r="A2" s="3"/>
      <c r="B2" s="3"/>
      <c r="C2" s="3"/>
      <c r="D2" s="3"/>
      <c r="E2" s="3"/>
      <c r="F2" s="3"/>
    </row>
    <row r="3" spans="1:6" ht="15" customHeight="1">
      <c r="A3" s="644" t="s">
        <v>231</v>
      </c>
      <c r="B3" s="644"/>
      <c r="C3" s="644"/>
      <c r="D3" s="644"/>
      <c r="E3" s="644"/>
      <c r="F3" s="644"/>
    </row>
    <row r="4" spans="1:6" s="70" customFormat="1" ht="27.75">
      <c r="A4" s="660" t="s">
        <v>596</v>
      </c>
      <c r="B4" s="660"/>
      <c r="C4" s="660"/>
      <c r="D4" s="660"/>
      <c r="E4" s="660"/>
      <c r="F4" s="660"/>
    </row>
    <row r="5" spans="1:6" s="70" customFormat="1" ht="20.25" customHeight="1">
      <c r="A5" s="663" t="s">
        <v>344</v>
      </c>
      <c r="B5" s="663"/>
      <c r="C5" s="663"/>
      <c r="D5" s="663"/>
      <c r="E5" s="663"/>
      <c r="F5" s="663"/>
    </row>
    <row r="6" spans="1:6" s="70" customFormat="1" ht="27.75">
      <c r="A6" s="174"/>
      <c r="B6" s="660" t="s">
        <v>612</v>
      </c>
      <c r="C6" s="660"/>
      <c r="D6" s="660"/>
      <c r="E6" s="660"/>
      <c r="F6" s="660"/>
    </row>
    <row r="7" spans="1:6" s="70" customFormat="1" ht="24.75" customHeight="1">
      <c r="A7" s="663" t="s">
        <v>252</v>
      </c>
      <c r="B7" s="663"/>
      <c r="C7" s="663"/>
      <c r="D7" s="663"/>
      <c r="E7" s="663"/>
      <c r="F7" s="663"/>
    </row>
    <row r="8" spans="1:6" ht="18">
      <c r="A8" s="84"/>
      <c r="B8" s="3"/>
      <c r="C8" s="3"/>
      <c r="D8" s="3"/>
      <c r="E8" s="3"/>
      <c r="F8" s="3"/>
    </row>
    <row r="9" spans="1:6" ht="54">
      <c r="A9" s="427" t="s">
        <v>157</v>
      </c>
      <c r="B9" s="427" t="s">
        <v>156</v>
      </c>
      <c r="C9" s="427" t="s">
        <v>406</v>
      </c>
      <c r="D9" s="427" t="s">
        <v>221</v>
      </c>
      <c r="E9" s="427" t="s">
        <v>366</v>
      </c>
      <c r="F9" s="427" t="s">
        <v>232</v>
      </c>
    </row>
    <row r="10" spans="1:6" s="125" customFormat="1" ht="18">
      <c r="A10" s="337">
        <v>1</v>
      </c>
      <c r="B10" s="337">
        <v>2</v>
      </c>
      <c r="C10" s="337"/>
      <c r="D10" s="337">
        <v>3</v>
      </c>
      <c r="E10" s="337">
        <v>4</v>
      </c>
      <c r="F10" s="337">
        <v>5</v>
      </c>
    </row>
    <row r="11" spans="1:6" s="25" customFormat="1" ht="26.25" customHeight="1">
      <c r="A11" s="81">
        <v>1</v>
      </c>
      <c r="B11" s="215" t="s">
        <v>233</v>
      </c>
      <c r="C11" s="392"/>
      <c r="D11" s="393"/>
      <c r="E11" s="393"/>
      <c r="F11" s="263"/>
    </row>
    <row r="12" spans="1:6" s="25" customFormat="1" ht="18">
      <c r="A12" s="81"/>
      <c r="B12" s="213" t="s">
        <v>367</v>
      </c>
      <c r="C12" s="392"/>
      <c r="D12" s="393"/>
      <c r="E12" s="393"/>
      <c r="F12" s="263"/>
    </row>
    <row r="13" spans="1:6" s="25" customFormat="1" ht="39" customHeight="1">
      <c r="A13" s="81"/>
      <c r="B13" s="214" t="s">
        <v>425</v>
      </c>
      <c r="C13" s="392"/>
      <c r="D13" s="393"/>
      <c r="E13" s="393"/>
      <c r="F13" s="263"/>
    </row>
    <row r="14" spans="1:6" s="25" customFormat="1" ht="19.5" customHeight="1" hidden="1">
      <c r="A14" s="81"/>
      <c r="B14" s="213" t="s">
        <v>430</v>
      </c>
      <c r="C14" s="392"/>
      <c r="D14" s="393"/>
      <c r="E14" s="393"/>
      <c r="F14" s="263"/>
    </row>
    <row r="15" spans="1:6" s="25" customFormat="1" ht="23.25" customHeight="1">
      <c r="A15" s="81"/>
      <c r="B15" s="213" t="s">
        <v>426</v>
      </c>
      <c r="C15" s="392"/>
      <c r="D15" s="393"/>
      <c r="E15" s="393"/>
      <c r="F15" s="263"/>
    </row>
    <row r="16" spans="1:6" s="25" customFormat="1" ht="11.25" customHeight="1" hidden="1">
      <c r="A16" s="81"/>
      <c r="B16" s="213"/>
      <c r="C16" s="392"/>
      <c r="D16" s="393"/>
      <c r="E16" s="393"/>
      <c r="F16" s="263"/>
    </row>
    <row r="17" spans="1:6" s="25" customFormat="1" ht="23.25" customHeight="1">
      <c r="A17" s="81"/>
      <c r="B17" s="213" t="s">
        <v>427</v>
      </c>
      <c r="C17" s="392"/>
      <c r="D17" s="393"/>
      <c r="E17" s="393"/>
      <c r="F17" s="263"/>
    </row>
    <row r="18" spans="1:6" s="25" customFormat="1" ht="14.25" customHeight="1" hidden="1">
      <c r="A18" s="81"/>
      <c r="B18" s="213"/>
      <c r="C18" s="392"/>
      <c r="D18" s="393"/>
      <c r="E18" s="393"/>
      <c r="F18" s="263"/>
    </row>
    <row r="19" spans="1:6" s="25" customFormat="1" ht="23.25" customHeight="1">
      <c r="A19" s="81"/>
      <c r="B19" s="213" t="s">
        <v>428</v>
      </c>
      <c r="C19" s="392"/>
      <c r="D19" s="393"/>
      <c r="E19" s="393"/>
      <c r="F19" s="263"/>
    </row>
    <row r="20" spans="1:6" s="25" customFormat="1" ht="18" hidden="1">
      <c r="A20" s="81"/>
      <c r="B20" s="213"/>
      <c r="C20" s="392"/>
      <c r="D20" s="393"/>
      <c r="E20" s="393"/>
      <c r="F20" s="263"/>
    </row>
    <row r="21" spans="1:6" s="224" customFormat="1" ht="24" customHeight="1">
      <c r="A21" s="211">
        <v>2</v>
      </c>
      <c r="B21" s="215" t="s">
        <v>262</v>
      </c>
      <c r="C21" s="295" t="s">
        <v>144</v>
      </c>
      <c r="D21" s="295" t="s">
        <v>365</v>
      </c>
      <c r="E21" s="295" t="s">
        <v>365</v>
      </c>
      <c r="F21" s="263"/>
    </row>
    <row r="22" spans="1:6" s="61" customFormat="1" ht="21.75" customHeight="1">
      <c r="A22" s="106">
        <v>3</v>
      </c>
      <c r="B22" s="394" t="s">
        <v>368</v>
      </c>
      <c r="C22" s="295" t="s">
        <v>144</v>
      </c>
      <c r="D22" s="302" t="s">
        <v>365</v>
      </c>
      <c r="E22" s="302" t="s">
        <v>365</v>
      </c>
      <c r="F22" s="263"/>
    </row>
    <row r="23" spans="1:6" s="61" customFormat="1" ht="18">
      <c r="A23" s="106"/>
      <c r="B23" s="395">
        <v>0.1</v>
      </c>
      <c r="C23" s="295"/>
      <c r="D23" s="393"/>
      <c r="E23" s="393"/>
      <c r="F23" s="263"/>
    </row>
    <row r="24" spans="1:6" s="61" customFormat="1" ht="18">
      <c r="A24" s="126"/>
      <c r="B24" s="395">
        <v>0.18</v>
      </c>
      <c r="C24" s="295" t="s">
        <v>144</v>
      </c>
      <c r="D24" s="393"/>
      <c r="E24" s="393"/>
      <c r="F24" s="263"/>
    </row>
    <row r="25" spans="1:6" s="61" customFormat="1" ht="21.75" customHeight="1">
      <c r="A25" s="106">
        <v>4</v>
      </c>
      <c r="B25" s="396" t="s">
        <v>364</v>
      </c>
      <c r="C25" s="295"/>
      <c r="D25" s="393"/>
      <c r="E25" s="393"/>
      <c r="F25" s="263"/>
    </row>
    <row r="26" spans="1:6" s="61" customFormat="1" ht="18">
      <c r="A26" s="126"/>
      <c r="B26" s="395" t="s">
        <v>439</v>
      </c>
      <c r="C26" s="295"/>
      <c r="D26" s="393"/>
      <c r="E26" s="393"/>
      <c r="F26" s="263"/>
    </row>
    <row r="27" spans="1:6" s="61" customFormat="1" ht="18">
      <c r="A27" s="126"/>
      <c r="B27" s="395" t="s">
        <v>563</v>
      </c>
      <c r="C27" s="295"/>
      <c r="D27" s="393"/>
      <c r="E27" s="393"/>
      <c r="F27" s="263"/>
    </row>
    <row r="28" spans="1:6" s="25" customFormat="1" ht="17.25">
      <c r="A28" s="75"/>
      <c r="B28" s="77" t="s">
        <v>145</v>
      </c>
      <c r="C28" s="116" t="s">
        <v>144</v>
      </c>
      <c r="D28" s="116" t="s">
        <v>144</v>
      </c>
      <c r="E28" s="116" t="s">
        <v>144</v>
      </c>
      <c r="F28" s="247">
        <f>SUM(F11:F27)</f>
        <v>0</v>
      </c>
    </row>
    <row r="29" ht="14.25">
      <c r="F29" s="262"/>
    </row>
    <row r="31" spans="2:6" s="3" customFormat="1" ht="18">
      <c r="B31" s="3" t="s">
        <v>589</v>
      </c>
      <c r="E31" s="3" t="s">
        <v>590</v>
      </c>
      <c r="F31" s="6"/>
    </row>
    <row r="32" spans="2:6" s="3" customFormat="1" ht="18">
      <c r="B32" s="3" t="s">
        <v>606</v>
      </c>
      <c r="E32" s="3" t="s">
        <v>402</v>
      </c>
      <c r="F32" s="6"/>
    </row>
    <row r="33" s="3" customFormat="1" ht="18">
      <c r="F33" s="6"/>
    </row>
    <row r="34" spans="2:6" s="3" customFormat="1" ht="18">
      <c r="B34" s="3" t="s">
        <v>408</v>
      </c>
      <c r="E34" s="3" t="s">
        <v>591</v>
      </c>
      <c r="F34" s="6"/>
    </row>
    <row r="35" spans="2:6" s="3" customFormat="1" ht="18">
      <c r="B35" s="3" t="s">
        <v>606</v>
      </c>
      <c r="E35" s="3" t="s">
        <v>402</v>
      </c>
      <c r="F35" s="6"/>
    </row>
    <row r="36" s="3" customFormat="1" ht="18"/>
    <row r="37" s="3" customFormat="1" ht="18"/>
    <row r="38" s="3" customFormat="1" ht="18">
      <c r="B38" s="3" t="s">
        <v>407</v>
      </c>
    </row>
  </sheetData>
  <sheetProtection/>
  <mergeCells count="5">
    <mergeCell ref="A3:F3"/>
    <mergeCell ref="A4:F4"/>
    <mergeCell ref="A5:F5"/>
    <mergeCell ref="B6:F6"/>
    <mergeCell ref="A7:F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3"/>
  <sheetViews>
    <sheetView view="pageBreakPreview" zoomScale="60" zoomScalePageLayoutView="0" workbookViewId="0" topLeftCell="A1">
      <selection activeCell="C17" sqref="C17:C20"/>
    </sheetView>
  </sheetViews>
  <sheetFormatPr defaultColWidth="9.140625" defaultRowHeight="15"/>
  <cols>
    <col min="1" max="1" width="7.7109375" style="6" customWidth="1"/>
    <col min="2" max="2" width="70.00390625" style="6" customWidth="1"/>
    <col min="3" max="3" width="25.7109375" style="6" customWidth="1"/>
    <col min="4" max="4" width="21.00390625" style="6" customWidth="1"/>
    <col min="5" max="5" width="45.57421875" style="6" customWidth="1"/>
    <col min="6" max="16384" width="9.140625" style="6" customWidth="1"/>
  </cols>
  <sheetData>
    <row r="1" ht="18">
      <c r="E1" s="11" t="s">
        <v>260</v>
      </c>
    </row>
    <row r="4" spans="1:5" ht="14.25">
      <c r="A4" s="644" t="s">
        <v>220</v>
      </c>
      <c r="B4" s="659"/>
      <c r="C4" s="659"/>
      <c r="D4" s="659"/>
      <c r="E4" s="659"/>
    </row>
    <row r="5" spans="1:5" ht="24" customHeight="1">
      <c r="A5" s="660" t="s">
        <v>609</v>
      </c>
      <c r="B5" s="660"/>
      <c r="C5" s="660"/>
      <c r="D5" s="660"/>
      <c r="E5" s="660"/>
    </row>
    <row r="6" spans="1:5" ht="15">
      <c r="A6" s="633" t="s">
        <v>344</v>
      </c>
      <c r="B6" s="633"/>
      <c r="C6" s="633"/>
      <c r="D6" s="633"/>
      <c r="E6" s="633"/>
    </row>
    <row r="7" spans="1:5" s="70" customFormat="1" ht="42" customHeight="1">
      <c r="A7" s="661" t="s">
        <v>612</v>
      </c>
      <c r="B7" s="661"/>
      <c r="C7" s="661"/>
      <c r="D7" s="661"/>
      <c r="E7" s="661"/>
    </row>
    <row r="8" spans="1:5" s="70" customFormat="1" ht="24.75" customHeight="1">
      <c r="A8" s="633" t="s">
        <v>252</v>
      </c>
      <c r="B8" s="633"/>
      <c r="C8" s="633"/>
      <c r="D8" s="633"/>
      <c r="E8" s="633"/>
    </row>
    <row r="10" ht="18">
      <c r="A10" s="84"/>
    </row>
    <row r="11" spans="1:5" ht="18.75" customHeight="1">
      <c r="A11" s="654" t="s">
        <v>157</v>
      </c>
      <c r="B11" s="654" t="s">
        <v>156</v>
      </c>
      <c r="C11" s="654" t="s">
        <v>221</v>
      </c>
      <c r="D11" s="654" t="s">
        <v>222</v>
      </c>
      <c r="E11" s="654" t="s">
        <v>258</v>
      </c>
    </row>
    <row r="12" spans="1:5" ht="14.25">
      <c r="A12" s="662"/>
      <c r="B12" s="662"/>
      <c r="C12" s="662"/>
      <c r="D12" s="662"/>
      <c r="E12" s="662"/>
    </row>
    <row r="13" spans="1:5" ht="18.75" customHeight="1">
      <c r="A13" s="655"/>
      <c r="B13" s="655"/>
      <c r="C13" s="655"/>
      <c r="D13" s="655"/>
      <c r="E13" s="655"/>
    </row>
    <row r="14" spans="1:5" ht="18">
      <c r="A14" s="103">
        <v>1</v>
      </c>
      <c r="B14" s="42">
        <v>2</v>
      </c>
      <c r="C14" s="42">
        <v>3</v>
      </c>
      <c r="D14" s="42">
        <v>4</v>
      </c>
      <c r="E14" s="42" t="s">
        <v>438</v>
      </c>
    </row>
    <row r="15" spans="1:5" s="25" customFormat="1" ht="37.5" customHeight="1">
      <c r="A15" s="92"/>
      <c r="B15" s="221" t="s">
        <v>259</v>
      </c>
      <c r="C15" s="92" t="s">
        <v>144</v>
      </c>
      <c r="D15" s="92" t="s">
        <v>144</v>
      </c>
      <c r="E15" s="261">
        <f>E17+E20</f>
        <v>0</v>
      </c>
    </row>
    <row r="16" spans="1:5" ht="18">
      <c r="A16" s="86"/>
      <c r="B16" s="80" t="s">
        <v>223</v>
      </c>
      <c r="C16" s="114"/>
      <c r="D16" s="114"/>
      <c r="E16" s="260"/>
    </row>
    <row r="17" spans="1:5" ht="18">
      <c r="A17" s="86"/>
      <c r="B17" s="80" t="s">
        <v>224</v>
      </c>
      <c r="C17" s="323"/>
      <c r="D17" s="323">
        <v>2.2</v>
      </c>
      <c r="E17" s="322">
        <f>C17*D17/100</f>
        <v>0</v>
      </c>
    </row>
    <row r="18" spans="1:5" ht="18">
      <c r="A18" s="86"/>
      <c r="B18" s="80" t="s">
        <v>38</v>
      </c>
      <c r="C18" s="114"/>
      <c r="D18" s="114"/>
      <c r="E18" s="260"/>
    </row>
    <row r="19" spans="1:5" ht="18">
      <c r="A19" s="86"/>
      <c r="B19" s="80" t="s">
        <v>225</v>
      </c>
      <c r="C19" s="114"/>
      <c r="D19" s="114"/>
      <c r="E19" s="260"/>
    </row>
    <row r="20" spans="1:5" ht="18">
      <c r="A20" s="86"/>
      <c r="B20" s="80" t="s">
        <v>226</v>
      </c>
      <c r="C20" s="114"/>
      <c r="D20" s="114">
        <v>2.2</v>
      </c>
      <c r="E20" s="260">
        <f>C20*D20/100</f>
        <v>0</v>
      </c>
    </row>
    <row r="21" spans="1:5" ht="18">
      <c r="A21" s="86"/>
      <c r="B21" s="80" t="s">
        <v>38</v>
      </c>
      <c r="C21" s="114"/>
      <c r="D21" s="114"/>
      <c r="E21" s="260"/>
    </row>
    <row r="22" spans="1:5" ht="18">
      <c r="A22" s="86"/>
      <c r="B22" s="80" t="s">
        <v>225</v>
      </c>
      <c r="C22" s="114"/>
      <c r="D22" s="114"/>
      <c r="E22" s="260"/>
    </row>
    <row r="23" spans="1:5" ht="18" hidden="1">
      <c r="A23" s="86"/>
      <c r="B23" s="88"/>
      <c r="C23" s="114"/>
      <c r="D23" s="114"/>
      <c r="E23" s="260"/>
    </row>
    <row r="24" spans="1:5" ht="18" hidden="1">
      <c r="A24" s="86"/>
      <c r="B24" s="88"/>
      <c r="C24" s="114"/>
      <c r="D24" s="114"/>
      <c r="E24" s="260"/>
    </row>
    <row r="26" spans="2:5" s="3" customFormat="1" ht="18">
      <c r="B26" s="3" t="s">
        <v>589</v>
      </c>
      <c r="E26" s="1" t="s">
        <v>590</v>
      </c>
    </row>
    <row r="27" spans="2:5" s="3" customFormat="1" ht="18">
      <c r="B27" s="36" t="s">
        <v>606</v>
      </c>
      <c r="C27" s="66"/>
      <c r="D27" s="36"/>
      <c r="E27" s="66" t="s">
        <v>402</v>
      </c>
    </row>
    <row r="28" spans="2:5" s="3" customFormat="1" ht="18">
      <c r="B28" s="6"/>
      <c r="C28" s="6"/>
      <c r="D28" s="6"/>
      <c r="E28" s="6"/>
    </row>
    <row r="29" spans="2:5" s="3" customFormat="1" ht="18">
      <c r="B29" s="3" t="s">
        <v>408</v>
      </c>
      <c r="E29" s="3" t="s">
        <v>591</v>
      </c>
    </row>
    <row r="30" spans="2:5" s="3" customFormat="1" ht="18">
      <c r="B30" s="3" t="s">
        <v>606</v>
      </c>
      <c r="E30" s="3" t="s">
        <v>402</v>
      </c>
    </row>
    <row r="31" s="3" customFormat="1" ht="18"/>
    <row r="32" s="3" customFormat="1" ht="18"/>
    <row r="33" s="3" customFormat="1" ht="18">
      <c r="B33" s="3" t="s">
        <v>391</v>
      </c>
    </row>
    <row r="34" s="3" customFormat="1" ht="18"/>
    <row r="35" s="3" customFormat="1" ht="18"/>
    <row r="36" s="3" customFormat="1" ht="18"/>
  </sheetData>
  <sheetProtection/>
  <mergeCells count="10">
    <mergeCell ref="A4:E4"/>
    <mergeCell ref="A5:E5"/>
    <mergeCell ref="A6:E6"/>
    <mergeCell ref="A7:E7"/>
    <mergeCell ref="A8:E8"/>
    <mergeCell ref="A11:A13"/>
    <mergeCell ref="B11:B13"/>
    <mergeCell ref="C11:C13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9"/>
  <sheetViews>
    <sheetView view="pageBreakPreview" zoomScale="60" zoomScalePageLayoutView="0" workbookViewId="0" topLeftCell="A1">
      <selection activeCell="E31" sqref="E31"/>
    </sheetView>
  </sheetViews>
  <sheetFormatPr defaultColWidth="9.140625" defaultRowHeight="15"/>
  <cols>
    <col min="1" max="1" width="7.7109375" style="6" customWidth="1"/>
    <col min="2" max="2" width="67.7109375" style="6" customWidth="1"/>
    <col min="3" max="3" width="23.421875" style="6" customWidth="1"/>
    <col min="4" max="4" width="24.28125" style="6" customWidth="1"/>
    <col min="5" max="5" width="22.7109375" style="6" customWidth="1"/>
    <col min="6" max="6" width="62.8515625" style="6" customWidth="1"/>
    <col min="7" max="16384" width="9.140625" style="6" customWidth="1"/>
  </cols>
  <sheetData>
    <row r="1" spans="1:6" ht="18">
      <c r="A1" s="3"/>
      <c r="B1" s="3"/>
      <c r="C1" s="3"/>
      <c r="D1" s="3"/>
      <c r="E1" s="3"/>
      <c r="F1" s="231" t="s">
        <v>263</v>
      </c>
    </row>
    <row r="2" spans="1:6" ht="18">
      <c r="A2" s="3"/>
      <c r="B2" s="3"/>
      <c r="C2" s="3"/>
      <c r="D2" s="3"/>
      <c r="E2" s="3"/>
      <c r="F2" s="3"/>
    </row>
    <row r="3" spans="1:6" ht="15" customHeight="1">
      <c r="A3" s="644" t="s">
        <v>231</v>
      </c>
      <c r="B3" s="644"/>
      <c r="C3" s="644"/>
      <c r="D3" s="644"/>
      <c r="E3" s="644"/>
      <c r="F3" s="644"/>
    </row>
    <row r="4" spans="1:6" s="70" customFormat="1" ht="27.75">
      <c r="A4" s="660" t="s">
        <v>716</v>
      </c>
      <c r="B4" s="660"/>
      <c r="C4" s="660"/>
      <c r="D4" s="660"/>
      <c r="E4" s="660"/>
      <c r="F4" s="660"/>
    </row>
    <row r="5" spans="1:6" s="70" customFormat="1" ht="20.25" customHeight="1">
      <c r="A5" s="663" t="s">
        <v>344</v>
      </c>
      <c r="B5" s="663"/>
      <c r="C5" s="663"/>
      <c r="D5" s="663"/>
      <c r="E5" s="663"/>
      <c r="F5" s="663"/>
    </row>
    <row r="6" spans="1:6" s="70" customFormat="1" ht="27.75">
      <c r="A6" s="174"/>
      <c r="B6" s="661" t="s">
        <v>720</v>
      </c>
      <c r="C6" s="661"/>
      <c r="D6" s="661"/>
      <c r="E6" s="661"/>
      <c r="F6" s="661"/>
    </row>
    <row r="7" spans="1:6" s="70" customFormat="1" ht="24.75" customHeight="1">
      <c r="A7" s="663" t="s">
        <v>252</v>
      </c>
      <c r="B7" s="663"/>
      <c r="C7" s="663"/>
      <c r="D7" s="663"/>
      <c r="E7" s="663"/>
      <c r="F7" s="663"/>
    </row>
    <row r="8" spans="1:6" ht="18">
      <c r="A8" s="84"/>
      <c r="B8" s="3"/>
      <c r="C8" s="3"/>
      <c r="D8" s="3"/>
      <c r="E8" s="3"/>
      <c r="F8" s="3"/>
    </row>
    <row r="9" spans="1:6" ht="54">
      <c r="A9" s="235" t="s">
        <v>157</v>
      </c>
      <c r="B9" s="235" t="s">
        <v>156</v>
      </c>
      <c r="C9" s="235" t="s">
        <v>406</v>
      </c>
      <c r="D9" s="235" t="s">
        <v>221</v>
      </c>
      <c r="E9" s="235" t="s">
        <v>366</v>
      </c>
      <c r="F9" s="235" t="s">
        <v>232</v>
      </c>
    </row>
    <row r="10" spans="1:6" s="125" customFormat="1" ht="18">
      <c r="A10" s="42">
        <v>1</v>
      </c>
      <c r="B10" s="42">
        <v>2</v>
      </c>
      <c r="C10" s="42"/>
      <c r="D10" s="42">
        <v>3</v>
      </c>
      <c r="E10" s="42">
        <v>4</v>
      </c>
      <c r="F10" s="42">
        <v>5</v>
      </c>
    </row>
    <row r="11" spans="1:6" s="25" customFormat="1" ht="26.25" customHeight="1">
      <c r="A11" s="81">
        <v>1</v>
      </c>
      <c r="B11" s="215" t="s">
        <v>233</v>
      </c>
      <c r="C11" s="392"/>
      <c r="D11" s="393"/>
      <c r="E11" s="393"/>
      <c r="F11" s="263">
        <f>F14+F15</f>
        <v>1308</v>
      </c>
    </row>
    <row r="12" spans="1:6" s="25" customFormat="1" ht="18">
      <c r="A12" s="81"/>
      <c r="B12" s="213" t="s">
        <v>367</v>
      </c>
      <c r="C12" s="392"/>
      <c r="D12" s="393"/>
      <c r="E12" s="393"/>
      <c r="F12" s="263"/>
    </row>
    <row r="13" spans="1:6" s="25" customFormat="1" ht="39" customHeight="1">
      <c r="A13" s="81"/>
      <c r="B13" s="214" t="s">
        <v>425</v>
      </c>
      <c r="C13" s="392"/>
      <c r="D13" s="393"/>
      <c r="E13" s="393"/>
      <c r="F13" s="263"/>
    </row>
    <row r="14" spans="1:6" s="25" customFormat="1" ht="19.5" customHeight="1">
      <c r="A14" s="81"/>
      <c r="B14" s="213" t="s">
        <v>725</v>
      </c>
      <c r="C14" s="392">
        <v>1</v>
      </c>
      <c r="D14" s="393">
        <v>109</v>
      </c>
      <c r="E14" s="393">
        <v>12</v>
      </c>
      <c r="F14" s="263">
        <f>D14*E14*C14</f>
        <v>1308</v>
      </c>
    </row>
    <row r="15" spans="1:6" s="25" customFormat="1" ht="19.5" customHeight="1">
      <c r="A15" s="81"/>
      <c r="B15" s="213"/>
      <c r="C15" s="392"/>
      <c r="D15" s="393"/>
      <c r="E15" s="393"/>
      <c r="F15" s="263"/>
    </row>
    <row r="16" spans="1:6" s="25" customFormat="1" ht="23.25" customHeight="1">
      <c r="A16" s="81"/>
      <c r="B16" s="213" t="s">
        <v>426</v>
      </c>
      <c r="C16" s="392"/>
      <c r="D16" s="393"/>
      <c r="E16" s="393"/>
      <c r="F16" s="263"/>
    </row>
    <row r="17" spans="1:6" s="25" customFormat="1" ht="11.25" customHeight="1" hidden="1">
      <c r="A17" s="81"/>
      <c r="B17" s="213"/>
      <c r="C17" s="392"/>
      <c r="D17" s="393"/>
      <c r="E17" s="393"/>
      <c r="F17" s="263"/>
    </row>
    <row r="18" spans="1:6" s="25" customFormat="1" ht="23.25" customHeight="1">
      <c r="A18" s="81"/>
      <c r="B18" s="213" t="s">
        <v>427</v>
      </c>
      <c r="C18" s="392"/>
      <c r="D18" s="393"/>
      <c r="E18" s="393"/>
      <c r="F18" s="263"/>
    </row>
    <row r="19" spans="1:6" s="25" customFormat="1" ht="14.25" customHeight="1" hidden="1">
      <c r="A19" s="81"/>
      <c r="B19" s="213"/>
      <c r="C19" s="392"/>
      <c r="D19" s="393"/>
      <c r="E19" s="393"/>
      <c r="F19" s="263"/>
    </row>
    <row r="20" spans="1:6" s="25" customFormat="1" ht="23.25" customHeight="1">
      <c r="A20" s="81"/>
      <c r="B20" s="213" t="s">
        <v>428</v>
      </c>
      <c r="C20" s="392"/>
      <c r="D20" s="393"/>
      <c r="E20" s="393"/>
      <c r="F20" s="263"/>
    </row>
    <row r="21" spans="1:6" s="25" customFormat="1" ht="18" hidden="1">
      <c r="A21" s="81"/>
      <c r="B21" s="213"/>
      <c r="C21" s="392"/>
      <c r="D21" s="393"/>
      <c r="E21" s="393"/>
      <c r="F21" s="263"/>
    </row>
    <row r="22" spans="1:6" s="224" customFormat="1" ht="24" customHeight="1">
      <c r="A22" s="211">
        <v>2</v>
      </c>
      <c r="B22" s="215" t="s">
        <v>262</v>
      </c>
      <c r="C22" s="295" t="s">
        <v>144</v>
      </c>
      <c r="D22" s="295" t="s">
        <v>365</v>
      </c>
      <c r="E22" s="295" t="s">
        <v>365</v>
      </c>
      <c r="F22" s="263"/>
    </row>
    <row r="23" spans="1:6" s="61" customFormat="1" ht="21.75" customHeight="1">
      <c r="A23" s="106">
        <v>3</v>
      </c>
      <c r="B23" s="394" t="s">
        <v>368</v>
      </c>
      <c r="C23" s="295" t="s">
        <v>144</v>
      </c>
      <c r="D23" s="302" t="s">
        <v>365</v>
      </c>
      <c r="E23" s="302" t="s">
        <v>365</v>
      </c>
      <c r="F23" s="263"/>
    </row>
    <row r="24" spans="1:6" s="61" customFormat="1" ht="18">
      <c r="A24" s="106"/>
      <c r="B24" s="395">
        <v>0.1</v>
      </c>
      <c r="C24" s="295"/>
      <c r="D24" s="393"/>
      <c r="E24" s="393"/>
      <c r="F24" s="263"/>
    </row>
    <row r="25" spans="1:6" s="61" customFormat="1" ht="18">
      <c r="A25" s="126"/>
      <c r="B25" s="395">
        <v>0.18</v>
      </c>
      <c r="C25" s="295" t="s">
        <v>144</v>
      </c>
      <c r="D25" s="393"/>
      <c r="E25" s="393"/>
      <c r="F25" s="263"/>
    </row>
    <row r="26" spans="1:6" s="61" customFormat="1" ht="21.75" customHeight="1">
      <c r="A26" s="106">
        <v>4</v>
      </c>
      <c r="B26" s="396" t="s">
        <v>364</v>
      </c>
      <c r="C26" s="295"/>
      <c r="D26" s="393"/>
      <c r="E26" s="393"/>
      <c r="F26" s="263"/>
    </row>
    <row r="27" spans="1:6" s="61" customFormat="1" ht="18">
      <c r="A27" s="126"/>
      <c r="B27" s="395" t="s">
        <v>439</v>
      </c>
      <c r="C27" s="295"/>
      <c r="D27" s="393"/>
      <c r="E27" s="393"/>
      <c r="F27" s="263">
        <v>10000</v>
      </c>
    </row>
    <row r="28" spans="1:6" s="61" customFormat="1" ht="18">
      <c r="A28" s="126"/>
      <c r="B28" s="395" t="s">
        <v>509</v>
      </c>
      <c r="C28" s="295"/>
      <c r="D28" s="393"/>
      <c r="E28" s="393"/>
      <c r="F28" s="263">
        <v>0</v>
      </c>
    </row>
    <row r="29" spans="1:6" s="25" customFormat="1" ht="17.25">
      <c r="A29" s="75"/>
      <c r="B29" s="77" t="s">
        <v>145</v>
      </c>
      <c r="C29" s="116" t="s">
        <v>144</v>
      </c>
      <c r="D29" s="116" t="s">
        <v>144</v>
      </c>
      <c r="E29" s="116" t="s">
        <v>144</v>
      </c>
      <c r="F29" s="247">
        <f>F11+F22+F27</f>
        <v>11308</v>
      </c>
    </row>
    <row r="30" ht="14.25">
      <c r="F30" s="262"/>
    </row>
    <row r="32" spans="2:6" s="3" customFormat="1" ht="18">
      <c r="B32" s="3" t="s">
        <v>589</v>
      </c>
      <c r="E32" s="3" t="s">
        <v>753</v>
      </c>
      <c r="F32" s="6"/>
    </row>
    <row r="33" spans="2:6" s="3" customFormat="1" ht="18">
      <c r="B33" s="3" t="s">
        <v>606</v>
      </c>
      <c r="E33" s="3" t="s">
        <v>402</v>
      </c>
      <c r="F33" s="6"/>
    </row>
    <row r="34" s="3" customFormat="1" ht="18">
      <c r="F34" s="6"/>
    </row>
    <row r="35" spans="2:6" s="3" customFormat="1" ht="18">
      <c r="B35" s="3" t="s">
        <v>408</v>
      </c>
      <c r="E35" s="3" t="s">
        <v>591</v>
      </c>
      <c r="F35" s="6"/>
    </row>
    <row r="36" spans="2:6" s="3" customFormat="1" ht="18">
      <c r="B36" s="3" t="s">
        <v>606</v>
      </c>
      <c r="E36" s="3" t="s">
        <v>402</v>
      </c>
      <c r="F36" s="6"/>
    </row>
    <row r="37" s="3" customFormat="1" ht="18"/>
    <row r="38" s="3" customFormat="1" ht="18"/>
    <row r="39" s="3" customFormat="1" ht="18">
      <c r="B39" s="3" t="s">
        <v>407</v>
      </c>
    </row>
  </sheetData>
  <sheetProtection/>
  <mergeCells count="5">
    <mergeCell ref="A3:F3"/>
    <mergeCell ref="A4:F4"/>
    <mergeCell ref="A5:F5"/>
    <mergeCell ref="A7:F7"/>
    <mergeCell ref="B6:F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"/>
  <sheetViews>
    <sheetView view="pageBreakPreview" zoomScale="60" zoomScaleNormal="70" zoomScalePageLayoutView="0" workbookViewId="0" topLeftCell="A1">
      <selection activeCell="F15" sqref="F15"/>
    </sheetView>
  </sheetViews>
  <sheetFormatPr defaultColWidth="9.140625" defaultRowHeight="15"/>
  <cols>
    <col min="1" max="1" width="7.7109375" style="6" customWidth="1"/>
    <col min="2" max="2" width="69.421875" style="6" customWidth="1"/>
    <col min="3" max="3" width="15.28125" style="6" customWidth="1"/>
    <col min="4" max="4" width="18.00390625" style="6" customWidth="1"/>
    <col min="5" max="5" width="20.57421875" style="6" customWidth="1"/>
    <col min="6" max="6" width="39.7109375" style="6" customWidth="1"/>
    <col min="7" max="7" width="9.140625" style="6" customWidth="1"/>
    <col min="8" max="8" width="38.28125" style="6" customWidth="1"/>
    <col min="9" max="16384" width="9.140625" style="6" customWidth="1"/>
  </cols>
  <sheetData>
    <row r="1" spans="1:7" ht="18">
      <c r="A1" s="40"/>
      <c r="B1" s="40"/>
      <c r="C1" s="40"/>
      <c r="D1" s="40"/>
      <c r="E1" s="40"/>
      <c r="F1" s="11" t="s">
        <v>250</v>
      </c>
      <c r="G1" s="40"/>
    </row>
    <row r="2" spans="1:7" ht="18">
      <c r="A2" s="40"/>
      <c r="B2" s="40"/>
      <c r="C2" s="40"/>
      <c r="D2" s="40"/>
      <c r="E2" s="40"/>
      <c r="F2" s="231"/>
      <c r="G2" s="40"/>
    </row>
    <row r="3" spans="1:7" ht="18">
      <c r="A3" s="644" t="s">
        <v>189</v>
      </c>
      <c r="B3" s="664"/>
      <c r="C3" s="664"/>
      <c r="D3" s="664"/>
      <c r="E3" s="664"/>
      <c r="F3" s="664"/>
      <c r="G3" s="40"/>
    </row>
    <row r="4" spans="1:7" ht="18">
      <c r="A4" s="234"/>
      <c r="B4" s="632" t="s">
        <v>716</v>
      </c>
      <c r="C4" s="632"/>
      <c r="D4" s="632"/>
      <c r="E4" s="632"/>
      <c r="F4" s="632"/>
      <c r="G4" s="40"/>
    </row>
    <row r="5" spans="1:7" ht="18">
      <c r="A5" s="234"/>
      <c r="B5" s="665" t="s">
        <v>344</v>
      </c>
      <c r="C5" s="665"/>
      <c r="D5" s="665"/>
      <c r="E5" s="665"/>
      <c r="F5" s="665"/>
      <c r="G5" s="40"/>
    </row>
    <row r="6" spans="1:6" s="70" customFormat="1" ht="43.5" customHeight="1">
      <c r="A6" s="84"/>
      <c r="B6" s="661" t="s">
        <v>720</v>
      </c>
      <c r="C6" s="661"/>
      <c r="D6" s="661"/>
      <c r="E6" s="661"/>
      <c r="F6" s="661"/>
    </row>
    <row r="7" spans="1:6" s="70" customFormat="1" ht="24.75" customHeight="1">
      <c r="A7" s="84"/>
      <c r="B7" s="665" t="s">
        <v>252</v>
      </c>
      <c r="C7" s="665"/>
      <c r="D7" s="665"/>
      <c r="E7" s="665"/>
      <c r="F7" s="665"/>
    </row>
    <row r="8" spans="1:7" ht="18">
      <c r="A8" s="84"/>
      <c r="B8" s="40"/>
      <c r="C8" s="40"/>
      <c r="D8" s="40"/>
      <c r="E8" s="40"/>
      <c r="F8" s="40"/>
      <c r="G8" s="40"/>
    </row>
    <row r="9" spans="1:7" s="1" customFormat="1" ht="36">
      <c r="A9" s="235" t="s">
        <v>157</v>
      </c>
      <c r="B9" s="235" t="s">
        <v>156</v>
      </c>
      <c r="C9" s="235" t="s">
        <v>188</v>
      </c>
      <c r="D9" s="158" t="s">
        <v>187</v>
      </c>
      <c r="E9" s="235" t="s">
        <v>186</v>
      </c>
      <c r="F9" s="235" t="s">
        <v>36</v>
      </c>
      <c r="G9" s="3"/>
    </row>
    <row r="10" spans="1:6" s="1" customFormat="1" ht="1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 t="s">
        <v>249</v>
      </c>
    </row>
    <row r="11" spans="1:7" s="1" customFormat="1" ht="36.75" customHeight="1">
      <c r="A11" s="81"/>
      <c r="B11" s="96" t="s">
        <v>369</v>
      </c>
      <c r="C11" s="43"/>
      <c r="D11" s="43"/>
      <c r="E11" s="172"/>
      <c r="F11" s="400">
        <f>C11*D11*E11</f>
        <v>0</v>
      </c>
      <c r="G11" s="3"/>
    </row>
    <row r="12" spans="1:7" s="1" customFormat="1" ht="44.25" customHeight="1">
      <c r="A12" s="81"/>
      <c r="B12" s="96" t="s">
        <v>370</v>
      </c>
      <c r="C12" s="43"/>
      <c r="D12" s="43"/>
      <c r="E12" s="172"/>
      <c r="F12" s="400">
        <f>C12*D12*E12</f>
        <v>0</v>
      </c>
      <c r="G12" s="3"/>
    </row>
    <row r="13" spans="1:7" s="1" customFormat="1" ht="33.75" customHeight="1">
      <c r="A13" s="78"/>
      <c r="B13" s="96" t="s">
        <v>185</v>
      </c>
      <c r="C13" s="43">
        <v>1</v>
      </c>
      <c r="D13" s="43">
        <v>12</v>
      </c>
      <c r="E13" s="172">
        <v>2500</v>
      </c>
      <c r="F13" s="400">
        <f aca="true" t="shared" si="0" ref="F13:F19">C13*D13*E13</f>
        <v>30000</v>
      </c>
      <c r="G13" s="3"/>
    </row>
    <row r="14" spans="1:7" s="1" customFormat="1" ht="36">
      <c r="A14" s="78"/>
      <c r="B14" s="96" t="s">
        <v>184</v>
      </c>
      <c r="C14" s="43"/>
      <c r="D14" s="43"/>
      <c r="E14" s="172"/>
      <c r="F14" s="400">
        <f t="shared" si="0"/>
        <v>0</v>
      </c>
      <c r="G14" s="3"/>
    </row>
    <row r="15" spans="1:7" s="1" customFormat="1" ht="41.25" customHeight="1">
      <c r="A15" s="78"/>
      <c r="B15" s="96" t="s">
        <v>183</v>
      </c>
      <c r="C15" s="43"/>
      <c r="D15" s="43"/>
      <c r="E15" s="172"/>
      <c r="F15" s="400">
        <f t="shared" si="0"/>
        <v>0</v>
      </c>
      <c r="G15" s="3"/>
    </row>
    <row r="16" spans="1:7" s="1" customFormat="1" ht="28.5" customHeight="1">
      <c r="A16" s="78"/>
      <c r="B16" s="96" t="s">
        <v>182</v>
      </c>
      <c r="C16" s="43"/>
      <c r="D16" s="43"/>
      <c r="E16" s="172"/>
      <c r="F16" s="400">
        <f t="shared" si="0"/>
        <v>0</v>
      </c>
      <c r="G16" s="3"/>
    </row>
    <row r="17" spans="1:7" s="1" customFormat="1" ht="39.75" customHeight="1">
      <c r="A17" s="78"/>
      <c r="B17" s="96" t="s">
        <v>372</v>
      </c>
      <c r="C17" s="43"/>
      <c r="D17" s="43"/>
      <c r="E17" s="172"/>
      <c r="F17" s="400">
        <f t="shared" si="0"/>
        <v>0</v>
      </c>
      <c r="G17" s="3"/>
    </row>
    <row r="18" spans="1:7" s="1" customFormat="1" ht="26.25" customHeight="1">
      <c r="A18" s="78"/>
      <c r="B18" s="43" t="s">
        <v>371</v>
      </c>
      <c r="C18" s="43"/>
      <c r="D18" s="43"/>
      <c r="E18" s="172"/>
      <c r="F18" s="400">
        <f t="shared" si="0"/>
        <v>0</v>
      </c>
      <c r="G18" s="3"/>
    </row>
    <row r="19" spans="1:7" s="1" customFormat="1" ht="18" hidden="1">
      <c r="A19" s="78"/>
      <c r="B19" s="43"/>
      <c r="C19" s="43"/>
      <c r="D19" s="43"/>
      <c r="E19" s="172"/>
      <c r="F19" s="400">
        <f t="shared" si="0"/>
        <v>0</v>
      </c>
      <c r="G19" s="3"/>
    </row>
    <row r="20" spans="1:7" s="1" customFormat="1" ht="18" hidden="1">
      <c r="A20" s="78"/>
      <c r="B20" s="43"/>
      <c r="C20" s="43"/>
      <c r="D20" s="43"/>
      <c r="E20" s="172"/>
      <c r="F20" s="400"/>
      <c r="G20" s="3"/>
    </row>
    <row r="21" spans="1:7" s="1" customFormat="1" ht="18" hidden="1">
      <c r="A21" s="78"/>
      <c r="B21" s="43"/>
      <c r="C21" s="43"/>
      <c r="D21" s="43"/>
      <c r="E21" s="172"/>
      <c r="F21" s="400">
        <f>C21*D21*E21</f>
        <v>0</v>
      </c>
      <c r="G21" s="3"/>
    </row>
    <row r="22" spans="1:8" s="1" customFormat="1" ht="18">
      <c r="A22" s="78"/>
      <c r="B22" s="77" t="s">
        <v>145</v>
      </c>
      <c r="C22" s="100" t="s">
        <v>144</v>
      </c>
      <c r="D22" s="100" t="s">
        <v>144</v>
      </c>
      <c r="E22" s="100" t="s">
        <v>144</v>
      </c>
      <c r="F22" s="263">
        <f>SUM(F11:F21)</f>
        <v>30000</v>
      </c>
      <c r="G22" s="3"/>
      <c r="H22" s="248"/>
    </row>
    <row r="23" spans="1:7" s="1" customFormat="1" ht="18">
      <c r="A23" s="3"/>
      <c r="B23" s="3"/>
      <c r="C23" s="3"/>
      <c r="D23" s="3"/>
      <c r="E23" s="3"/>
      <c r="F23" s="3"/>
      <c r="G23" s="3"/>
    </row>
    <row r="24" spans="2:6" s="3" customFormat="1" ht="18">
      <c r="B24" s="3" t="s">
        <v>589</v>
      </c>
      <c r="E24" s="3" t="s">
        <v>753</v>
      </c>
      <c r="F24" s="6"/>
    </row>
    <row r="25" spans="2:6" s="3" customFormat="1" ht="18">
      <c r="B25" s="3" t="s">
        <v>606</v>
      </c>
      <c r="E25" s="3" t="s">
        <v>402</v>
      </c>
      <c r="F25" s="6"/>
    </row>
    <row r="26" s="3" customFormat="1" ht="18">
      <c r="F26" s="6"/>
    </row>
    <row r="27" spans="2:6" s="3" customFormat="1" ht="18">
      <c r="B27" s="3" t="s">
        <v>408</v>
      </c>
      <c r="E27" s="3" t="s">
        <v>591</v>
      </c>
      <c r="F27" s="6"/>
    </row>
    <row r="28" spans="2:6" s="3" customFormat="1" ht="18">
      <c r="B28" s="3" t="s">
        <v>606</v>
      </c>
      <c r="E28" s="3" t="s">
        <v>402</v>
      </c>
      <c r="F28" s="6"/>
    </row>
    <row r="29" s="1" customFormat="1" ht="15"/>
  </sheetData>
  <sheetProtection/>
  <mergeCells count="5">
    <mergeCell ref="A3:F3"/>
    <mergeCell ref="B4:F4"/>
    <mergeCell ref="B5:F5"/>
    <mergeCell ref="B6:F6"/>
    <mergeCell ref="B7:F7"/>
  </mergeCells>
  <printOptions/>
  <pageMargins left="0.7086614173228347" right="0.31496062992125984" top="0.35433070866141736" bottom="0.39" header="0.31496062992125984" footer="0.31496062992125984"/>
  <pageSetup fitToHeight="1" fitToWidth="1" horizontalDpi="600" verticalDpi="600" orientation="landscape" paperSize="9" scale="7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2"/>
  <sheetViews>
    <sheetView tabSelected="1"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7.7109375" style="6" customWidth="1"/>
    <col min="2" max="2" width="69.421875" style="6" customWidth="1"/>
    <col min="3" max="3" width="15.28125" style="6" customWidth="1"/>
    <col min="4" max="4" width="20.57421875" style="6" customWidth="1"/>
    <col min="5" max="5" width="39.7109375" style="6" customWidth="1"/>
    <col min="6" max="6" width="9.140625" style="6" customWidth="1"/>
    <col min="7" max="7" width="38.28125" style="6" customWidth="1"/>
    <col min="8" max="16384" width="9.140625" style="6" customWidth="1"/>
  </cols>
  <sheetData>
    <row r="1" spans="1:6" ht="18">
      <c r="A1" s="40"/>
      <c r="B1" s="40"/>
      <c r="C1" s="40"/>
      <c r="D1" s="40"/>
      <c r="E1" s="11" t="s">
        <v>748</v>
      </c>
      <c r="F1" s="40"/>
    </row>
    <row r="2" spans="1:6" ht="18">
      <c r="A2" s="40"/>
      <c r="B2" s="40"/>
      <c r="C2" s="40"/>
      <c r="D2" s="40"/>
      <c r="E2" s="490"/>
      <c r="F2" s="40"/>
    </row>
    <row r="3" spans="1:6" ht="18">
      <c r="A3" s="644" t="s">
        <v>743</v>
      </c>
      <c r="B3" s="664"/>
      <c r="C3" s="664"/>
      <c r="D3" s="664"/>
      <c r="E3" s="664"/>
      <c r="F3" s="40"/>
    </row>
    <row r="4" spans="1:6" ht="18">
      <c r="A4" s="496"/>
      <c r="B4" s="632" t="s">
        <v>716</v>
      </c>
      <c r="C4" s="632"/>
      <c r="D4" s="632"/>
      <c r="E4" s="632"/>
      <c r="F4" s="40"/>
    </row>
    <row r="5" spans="1:6" ht="18">
      <c r="A5" s="496"/>
      <c r="B5" s="665" t="s">
        <v>344</v>
      </c>
      <c r="C5" s="665"/>
      <c r="D5" s="665"/>
      <c r="E5" s="665"/>
      <c r="F5" s="40"/>
    </row>
    <row r="6" spans="1:5" s="70" customFormat="1" ht="43.5" customHeight="1">
      <c r="A6" s="84"/>
      <c r="B6" s="661" t="s">
        <v>720</v>
      </c>
      <c r="C6" s="661"/>
      <c r="D6" s="661"/>
      <c r="E6" s="661"/>
    </row>
    <row r="7" spans="1:5" s="70" customFormat="1" ht="24.75" customHeight="1">
      <c r="A7" s="84"/>
      <c r="B7" s="665" t="s">
        <v>252</v>
      </c>
      <c r="C7" s="665"/>
      <c r="D7" s="665"/>
      <c r="E7" s="665"/>
    </row>
    <row r="8" spans="1:6" ht="18">
      <c r="A8" s="84"/>
      <c r="B8" s="40"/>
      <c r="C8" s="40"/>
      <c r="D8" s="40"/>
      <c r="E8" s="40"/>
      <c r="F8" s="40"/>
    </row>
    <row r="9" spans="1:6" s="1" customFormat="1" ht="54">
      <c r="A9" s="497" t="s">
        <v>157</v>
      </c>
      <c r="B9" s="497" t="s">
        <v>156</v>
      </c>
      <c r="C9" s="497" t="s">
        <v>744</v>
      </c>
      <c r="D9" s="497" t="s">
        <v>745</v>
      </c>
      <c r="E9" s="497" t="s">
        <v>36</v>
      </c>
      <c r="F9" s="3"/>
    </row>
    <row r="10" spans="1:5" s="1" customFormat="1" ht="15">
      <c r="A10" s="98">
        <v>1</v>
      </c>
      <c r="B10" s="98">
        <v>2</v>
      </c>
      <c r="C10" s="98">
        <v>3</v>
      </c>
      <c r="D10" s="98">
        <v>4</v>
      </c>
      <c r="E10" s="98" t="s">
        <v>746</v>
      </c>
    </row>
    <row r="11" spans="1:6" s="1" customFormat="1" ht="36.75" customHeight="1">
      <c r="A11" s="81"/>
      <c r="B11" s="96" t="s">
        <v>747</v>
      </c>
      <c r="C11" s="43">
        <v>2</v>
      </c>
      <c r="D11" s="172">
        <v>15000</v>
      </c>
      <c r="E11" s="400">
        <f>C11*D11</f>
        <v>30000</v>
      </c>
      <c r="F11" s="3"/>
    </row>
    <row r="12" spans="1:6" s="1" customFormat="1" ht="18" hidden="1">
      <c r="A12" s="78"/>
      <c r="B12" s="43"/>
      <c r="C12" s="43"/>
      <c r="D12" s="172"/>
      <c r="E12" s="400" t="e">
        <f>C12*#REF!*D12</f>
        <v>#REF!</v>
      </c>
      <c r="F12" s="3"/>
    </row>
    <row r="13" spans="1:6" s="1" customFormat="1" ht="18" hidden="1">
      <c r="A13" s="78"/>
      <c r="B13" s="43"/>
      <c r="C13" s="43"/>
      <c r="D13" s="172"/>
      <c r="E13" s="400"/>
      <c r="F13" s="3"/>
    </row>
    <row r="14" spans="1:6" s="1" customFormat="1" ht="18" hidden="1">
      <c r="A14" s="78"/>
      <c r="B14" s="43"/>
      <c r="C14" s="43"/>
      <c r="D14" s="172"/>
      <c r="E14" s="400" t="e">
        <f>C14*#REF!*D14</f>
        <v>#REF!</v>
      </c>
      <c r="F14" s="3"/>
    </row>
    <row r="15" spans="1:7" s="1" customFormat="1" ht="35.25" customHeight="1">
      <c r="A15" s="78"/>
      <c r="B15" s="77" t="s">
        <v>145</v>
      </c>
      <c r="C15" s="100" t="s">
        <v>144</v>
      </c>
      <c r="D15" s="100" t="s">
        <v>144</v>
      </c>
      <c r="E15" s="263">
        <f>E11</f>
        <v>30000</v>
      </c>
      <c r="F15" s="3"/>
      <c r="G15" s="248"/>
    </row>
    <row r="16" spans="1:7" s="1" customFormat="1" ht="69" customHeight="1">
      <c r="A16" s="506"/>
      <c r="B16" s="507"/>
      <c r="C16" s="508"/>
      <c r="D16" s="508"/>
      <c r="E16" s="509"/>
      <c r="F16" s="3"/>
      <c r="G16" s="248"/>
    </row>
    <row r="17" spans="1:6" s="1" customFormat="1" ht="18">
      <c r="A17" s="3"/>
      <c r="B17" s="3"/>
      <c r="C17" s="3"/>
      <c r="D17" s="3"/>
      <c r="E17" s="3"/>
      <c r="F17" s="3"/>
    </row>
    <row r="18" spans="2:5" s="3" customFormat="1" ht="18">
      <c r="B18" s="3" t="s">
        <v>589</v>
      </c>
      <c r="D18" s="3" t="s">
        <v>753</v>
      </c>
      <c r="E18" s="6"/>
    </row>
    <row r="19" spans="2:5" s="3" customFormat="1" ht="18">
      <c r="B19" s="3" t="s">
        <v>606</v>
      </c>
      <c r="D19" s="3" t="s">
        <v>402</v>
      </c>
      <c r="E19" s="6"/>
    </row>
    <row r="20" s="3" customFormat="1" ht="18">
      <c r="E20" s="6"/>
    </row>
    <row r="21" spans="2:5" s="3" customFormat="1" ht="18">
      <c r="B21" s="3" t="s">
        <v>408</v>
      </c>
      <c r="D21" s="3" t="s">
        <v>591</v>
      </c>
      <c r="E21" s="6"/>
    </row>
    <row r="22" spans="2:5" s="3" customFormat="1" ht="18">
      <c r="B22" s="3" t="s">
        <v>606</v>
      </c>
      <c r="D22" s="3" t="s">
        <v>402</v>
      </c>
      <c r="E22" s="6"/>
    </row>
    <row r="23" s="1" customFormat="1" ht="15"/>
  </sheetData>
  <sheetProtection/>
  <mergeCells count="5">
    <mergeCell ref="A3:E3"/>
    <mergeCell ref="B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4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5"/>
  <cols>
    <col min="1" max="1" width="6.421875" style="3" customWidth="1"/>
    <col min="2" max="2" width="66.421875" style="3" customWidth="1"/>
    <col min="3" max="3" width="26.8515625" style="3" customWidth="1"/>
    <col min="4" max="4" width="21.7109375" style="3" customWidth="1"/>
    <col min="5" max="5" width="40.28125" style="3" customWidth="1"/>
    <col min="6" max="6" width="14.421875" style="3" customWidth="1"/>
    <col min="7" max="7" width="17.8515625" style="3" customWidth="1"/>
    <col min="8" max="16384" width="8.8515625" style="3" customWidth="1"/>
  </cols>
  <sheetData>
    <row r="1" ht="18">
      <c r="E1" s="11" t="s">
        <v>110</v>
      </c>
    </row>
    <row r="3" spans="1:5" ht="18">
      <c r="A3" s="644" t="s">
        <v>169</v>
      </c>
      <c r="B3" s="644"/>
      <c r="C3" s="644"/>
      <c r="D3" s="644"/>
      <c r="E3" s="644"/>
    </row>
    <row r="4" spans="1:5" ht="35.25" customHeight="1">
      <c r="A4" s="234"/>
      <c r="B4" s="645" t="s">
        <v>716</v>
      </c>
      <c r="C4" s="645"/>
      <c r="D4" s="645"/>
      <c r="E4" s="645"/>
    </row>
    <row r="5" spans="1:5" ht="18">
      <c r="A5" s="234"/>
      <c r="B5" s="633" t="s">
        <v>344</v>
      </c>
      <c r="C5" s="633"/>
      <c r="D5" s="633"/>
      <c r="E5" s="633"/>
    </row>
    <row r="6" spans="1:5" s="70" customFormat="1" ht="39" customHeight="1">
      <c r="A6" s="84"/>
      <c r="B6" s="645" t="s">
        <v>723</v>
      </c>
      <c r="C6" s="645"/>
      <c r="D6" s="645"/>
      <c r="E6" s="645"/>
    </row>
    <row r="7" spans="1:5" s="70" customFormat="1" ht="24.75" customHeight="1">
      <c r="A7" s="84"/>
      <c r="B7" s="633" t="s">
        <v>252</v>
      </c>
      <c r="C7" s="633"/>
      <c r="D7" s="633"/>
      <c r="E7" s="633"/>
    </row>
    <row r="8" ht="18">
      <c r="A8" s="82"/>
    </row>
    <row r="9" spans="1:5" s="61" customFormat="1" ht="56.25" customHeight="1">
      <c r="A9" s="233" t="s">
        <v>157</v>
      </c>
      <c r="B9" s="233" t="s">
        <v>20</v>
      </c>
      <c r="C9" s="164" t="s">
        <v>168</v>
      </c>
      <c r="D9" s="164" t="s">
        <v>246</v>
      </c>
      <c r="E9" s="164" t="s">
        <v>247</v>
      </c>
    </row>
    <row r="10" spans="1:5" ht="16.5" customHeight="1">
      <c r="A10" s="165">
        <v>1</v>
      </c>
      <c r="B10" s="165">
        <v>2</v>
      </c>
      <c r="C10" s="165">
        <v>3</v>
      </c>
      <c r="D10" s="165">
        <v>4</v>
      </c>
      <c r="E10" s="165">
        <v>5</v>
      </c>
    </row>
    <row r="11" spans="1:7" ht="24" customHeight="1">
      <c r="A11" s="2">
        <v>1</v>
      </c>
      <c r="B11" s="23" t="s">
        <v>167</v>
      </c>
      <c r="C11" s="316">
        <v>12490</v>
      </c>
      <c r="D11" s="169">
        <v>7.77</v>
      </c>
      <c r="E11" s="169">
        <f>C11*D11</f>
        <v>97047.29999999999</v>
      </c>
      <c r="G11" s="287"/>
    </row>
    <row r="12" spans="1:7" ht="23.25" customHeight="1">
      <c r="A12" s="2">
        <v>2</v>
      </c>
      <c r="B12" s="23" t="s">
        <v>166</v>
      </c>
      <c r="C12" s="442">
        <v>22.732</v>
      </c>
      <c r="D12" s="169">
        <v>2845.71</v>
      </c>
      <c r="E12" s="169">
        <f aca="true" t="shared" si="0" ref="E12:E17">C12*D12</f>
        <v>64688.67972</v>
      </c>
      <c r="G12" s="287"/>
    </row>
    <row r="13" spans="1:7" ht="26.25" customHeight="1">
      <c r="A13" s="2">
        <v>3</v>
      </c>
      <c r="B13" s="23" t="s">
        <v>165</v>
      </c>
      <c r="C13" s="316"/>
      <c r="D13" s="169"/>
      <c r="E13" s="169">
        <f t="shared" si="0"/>
        <v>0</v>
      </c>
      <c r="G13" s="287"/>
    </row>
    <row r="14" spans="1:7" ht="26.25" customHeight="1">
      <c r="A14" s="2">
        <v>4</v>
      </c>
      <c r="B14" s="23" t="s">
        <v>164</v>
      </c>
      <c r="C14" s="316">
        <v>142.39</v>
      </c>
      <c r="D14" s="169">
        <v>121.33</v>
      </c>
      <c r="E14" s="169">
        <f t="shared" si="0"/>
        <v>17276.178699999997</v>
      </c>
      <c r="G14" s="287"/>
    </row>
    <row r="15" spans="1:7" ht="26.25" customHeight="1">
      <c r="A15" s="2">
        <v>5</v>
      </c>
      <c r="B15" s="23" t="s">
        <v>163</v>
      </c>
      <c r="C15" s="316"/>
      <c r="D15" s="169"/>
      <c r="E15" s="169">
        <f t="shared" si="0"/>
        <v>0</v>
      </c>
      <c r="G15" s="287"/>
    </row>
    <row r="16" spans="1:7" ht="26.25" customHeight="1">
      <c r="A16" s="2">
        <v>6</v>
      </c>
      <c r="B16" s="23" t="s">
        <v>162</v>
      </c>
      <c r="C16" s="316">
        <v>142.39</v>
      </c>
      <c r="D16" s="169">
        <v>56.28</v>
      </c>
      <c r="E16" s="169">
        <f t="shared" si="0"/>
        <v>8013.709199999999</v>
      </c>
      <c r="G16" s="287"/>
    </row>
    <row r="17" spans="1:7" ht="26.25" customHeight="1">
      <c r="A17" s="2">
        <v>7</v>
      </c>
      <c r="B17" s="23" t="s">
        <v>161</v>
      </c>
      <c r="C17" s="2"/>
      <c r="D17" s="169"/>
      <c r="E17" s="169">
        <f t="shared" si="0"/>
        <v>0</v>
      </c>
      <c r="G17" s="287"/>
    </row>
    <row r="18" spans="1:5" ht="26.25" customHeight="1">
      <c r="A18" s="2">
        <v>8</v>
      </c>
      <c r="B18" s="23" t="s">
        <v>160</v>
      </c>
      <c r="C18" s="2">
        <v>425</v>
      </c>
      <c r="D18" s="169">
        <v>7.24</v>
      </c>
      <c r="E18" s="169">
        <f>C18*D18</f>
        <v>3077</v>
      </c>
    </row>
    <row r="19" spans="1:5" ht="26.25" customHeight="1" hidden="1">
      <c r="A19" s="2"/>
      <c r="B19" s="23"/>
      <c r="C19" s="2"/>
      <c r="D19" s="169"/>
      <c r="E19" s="169"/>
    </row>
    <row r="20" spans="1:5" ht="18" hidden="1">
      <c r="A20" s="2"/>
      <c r="B20" s="2"/>
      <c r="C20" s="2"/>
      <c r="D20" s="169"/>
      <c r="E20" s="169"/>
    </row>
    <row r="21" spans="1:7" s="61" customFormat="1" ht="21.75" customHeight="1">
      <c r="A21" s="166"/>
      <c r="B21" s="167" t="s">
        <v>145</v>
      </c>
      <c r="C21" s="233" t="s">
        <v>144</v>
      </c>
      <c r="D21" s="233" t="s">
        <v>144</v>
      </c>
      <c r="E21" s="168">
        <f>SUM(E11:E20)-0.02</f>
        <v>190102.84762000002</v>
      </c>
      <c r="G21" s="288"/>
    </row>
    <row r="24" spans="2:5" ht="18">
      <c r="B24" s="3" t="s">
        <v>589</v>
      </c>
      <c r="E24" s="3" t="s">
        <v>753</v>
      </c>
    </row>
    <row r="25" spans="2:5" ht="18">
      <c r="B25" s="1" t="s">
        <v>606</v>
      </c>
      <c r="E25" s="3" t="s">
        <v>402</v>
      </c>
    </row>
    <row r="27" spans="2:5" ht="18">
      <c r="B27" s="3" t="s">
        <v>408</v>
      </c>
      <c r="E27" s="3" t="s">
        <v>591</v>
      </c>
    </row>
    <row r="28" spans="2:5" ht="18">
      <c r="B28" s="1" t="s">
        <v>606</v>
      </c>
      <c r="E28" s="3" t="s">
        <v>402</v>
      </c>
    </row>
    <row r="29" ht="18">
      <c r="B29" s="1"/>
    </row>
    <row r="31" ht="18">
      <c r="B31" s="1"/>
    </row>
    <row r="34" ht="18">
      <c r="B34" s="1"/>
    </row>
  </sheetData>
  <sheetProtection/>
  <mergeCells count="5">
    <mergeCell ref="A3:E3"/>
    <mergeCell ref="B4:E4"/>
    <mergeCell ref="B5:E5"/>
    <mergeCell ref="B6:E6"/>
    <mergeCell ref="B7:E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1"/>
  <sheetViews>
    <sheetView view="pageBreakPreview" zoomScale="60" zoomScalePageLayoutView="0" workbookViewId="0" topLeftCell="A16">
      <selection activeCell="E47" sqref="E47"/>
    </sheetView>
  </sheetViews>
  <sheetFormatPr defaultColWidth="9.140625" defaultRowHeight="15"/>
  <cols>
    <col min="1" max="1" width="8.00390625" style="6" customWidth="1"/>
    <col min="2" max="2" width="73.7109375" style="6" customWidth="1"/>
    <col min="3" max="3" width="18.7109375" style="6" customWidth="1"/>
    <col min="4" max="4" width="14.8515625" style="6" customWidth="1"/>
    <col min="5" max="5" width="19.28125" style="6" customWidth="1"/>
    <col min="6" max="6" width="34.00390625" style="6" customWidth="1"/>
    <col min="7" max="16384" width="9.140625" style="6" customWidth="1"/>
  </cols>
  <sheetData>
    <row r="1" ht="18">
      <c r="F1" s="11" t="s">
        <v>255</v>
      </c>
    </row>
    <row r="3" spans="1:6" s="25" customFormat="1" ht="28.5" customHeight="1">
      <c r="A3" s="644" t="s">
        <v>211</v>
      </c>
      <c r="B3" s="644"/>
      <c r="C3" s="644"/>
      <c r="D3" s="644"/>
      <c r="E3" s="644"/>
      <c r="F3" s="644"/>
    </row>
    <row r="4" spans="1:6" s="70" customFormat="1" ht="27.75">
      <c r="A4" s="660" t="s">
        <v>716</v>
      </c>
      <c r="B4" s="660"/>
      <c r="C4" s="660"/>
      <c r="D4" s="660"/>
      <c r="E4" s="660"/>
      <c r="F4" s="660"/>
    </row>
    <row r="5" spans="1:6" s="70" customFormat="1" ht="27.75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723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ht="15">
      <c r="B8" s="1"/>
    </row>
    <row r="9" spans="1:6" ht="17.25">
      <c r="A9" s="583" t="s">
        <v>157</v>
      </c>
      <c r="B9" s="583" t="s">
        <v>156</v>
      </c>
      <c r="C9" s="666" t="s">
        <v>253</v>
      </c>
      <c r="D9" s="667"/>
      <c r="E9" s="666" t="s">
        <v>254</v>
      </c>
      <c r="F9" s="667"/>
    </row>
    <row r="10" spans="1:6" ht="75" customHeight="1">
      <c r="A10" s="583"/>
      <c r="B10" s="583"/>
      <c r="C10" s="236" t="s">
        <v>210</v>
      </c>
      <c r="D10" s="236" t="s">
        <v>209</v>
      </c>
      <c r="E10" s="236" t="s">
        <v>210</v>
      </c>
      <c r="F10" s="236" t="s">
        <v>209</v>
      </c>
    </row>
    <row r="11" spans="1:6" ht="18">
      <c r="A11" s="236">
        <v>1</v>
      </c>
      <c r="B11" s="236">
        <v>2</v>
      </c>
      <c r="C11" s="42">
        <v>3</v>
      </c>
      <c r="D11" s="42">
        <v>4</v>
      </c>
      <c r="E11" s="42">
        <v>5</v>
      </c>
      <c r="F11" s="42">
        <v>6</v>
      </c>
    </row>
    <row r="12" spans="1:6" s="25" customFormat="1" ht="18">
      <c r="A12" s="87">
        <v>1</v>
      </c>
      <c r="B12" s="79" t="s">
        <v>208</v>
      </c>
      <c r="C12" s="91" t="s">
        <v>144</v>
      </c>
      <c r="D12" s="173">
        <f>SUM(D14:D19)</f>
        <v>0</v>
      </c>
      <c r="E12" s="42" t="s">
        <v>144</v>
      </c>
      <c r="F12" s="261">
        <f>SUM(F14:F19)</f>
        <v>26220</v>
      </c>
    </row>
    <row r="13" spans="1:6" ht="18">
      <c r="A13" s="299"/>
      <c r="B13" s="79" t="s">
        <v>40</v>
      </c>
      <c r="C13" s="190"/>
      <c r="D13" s="176"/>
      <c r="E13" s="190"/>
      <c r="F13" s="260"/>
    </row>
    <row r="14" spans="1:6" ht="18">
      <c r="A14" s="299"/>
      <c r="B14" s="79" t="s">
        <v>537</v>
      </c>
      <c r="C14" s="190"/>
      <c r="D14" s="176"/>
      <c r="E14" s="190">
        <v>1</v>
      </c>
      <c r="F14" s="270">
        <v>4395</v>
      </c>
    </row>
    <row r="15" spans="1:6" ht="20.25" customHeight="1">
      <c r="A15" s="299"/>
      <c r="B15" s="79" t="s">
        <v>661</v>
      </c>
      <c r="C15" s="190"/>
      <c r="D15" s="176"/>
      <c r="E15" s="190"/>
      <c r="F15" s="270">
        <v>21825</v>
      </c>
    </row>
    <row r="16" spans="1:6" ht="20.25" customHeight="1">
      <c r="A16" s="299"/>
      <c r="B16" s="79" t="s">
        <v>205</v>
      </c>
      <c r="C16" s="190"/>
      <c r="D16" s="176"/>
      <c r="E16" s="190"/>
      <c r="F16" s="270"/>
    </row>
    <row r="17" spans="1:6" ht="22.5" customHeight="1">
      <c r="A17" s="299"/>
      <c r="B17" s="79" t="s">
        <v>204</v>
      </c>
      <c r="C17" s="190"/>
      <c r="D17" s="176"/>
      <c r="E17" s="190"/>
      <c r="F17" s="270"/>
    </row>
    <row r="18" spans="1:6" ht="18.75" customHeight="1" hidden="1">
      <c r="A18" s="299"/>
      <c r="B18" s="79"/>
      <c r="C18" s="190"/>
      <c r="D18" s="176"/>
      <c r="E18" s="190"/>
      <c r="F18" s="270"/>
    </row>
    <row r="19" spans="1:6" ht="18.75" customHeight="1" hidden="1">
      <c r="A19" s="299"/>
      <c r="B19" s="180"/>
      <c r="C19" s="190"/>
      <c r="D19" s="176"/>
      <c r="E19" s="190"/>
      <c r="F19" s="270"/>
    </row>
    <row r="20" spans="1:6" s="25" customFormat="1" ht="18">
      <c r="A20" s="87">
        <v>2</v>
      </c>
      <c r="B20" s="79" t="s">
        <v>203</v>
      </c>
      <c r="C20" s="91" t="s">
        <v>144</v>
      </c>
      <c r="D20" s="176">
        <f>SUM(D22:D25)</f>
        <v>0</v>
      </c>
      <c r="E20" s="91" t="s">
        <v>144</v>
      </c>
      <c r="F20" s="263">
        <f>SUM(F21:F25)</f>
        <v>26300</v>
      </c>
    </row>
    <row r="21" spans="1:6" ht="18">
      <c r="A21" s="299"/>
      <c r="B21" s="79" t="s">
        <v>630</v>
      </c>
      <c r="C21" s="190"/>
      <c r="D21" s="176"/>
      <c r="E21" s="190"/>
      <c r="F21" s="270">
        <v>18920</v>
      </c>
    </row>
    <row r="22" spans="1:6" ht="21" customHeight="1">
      <c r="A22" s="299"/>
      <c r="B22" s="79" t="s">
        <v>631</v>
      </c>
      <c r="C22" s="190"/>
      <c r="D22" s="176"/>
      <c r="E22" s="190"/>
      <c r="F22" s="270">
        <v>7380</v>
      </c>
    </row>
    <row r="23" spans="1:6" ht="18">
      <c r="A23" s="299"/>
      <c r="B23" s="79"/>
      <c r="C23" s="190"/>
      <c r="D23" s="176"/>
      <c r="E23" s="190">
        <v>3</v>
      </c>
      <c r="F23" s="270"/>
    </row>
    <row r="24" spans="1:6" ht="18.75" customHeight="1" hidden="1">
      <c r="A24" s="299"/>
      <c r="B24" s="79"/>
      <c r="C24" s="190"/>
      <c r="D24" s="176"/>
      <c r="E24" s="190"/>
      <c r="F24" s="270"/>
    </row>
    <row r="25" spans="1:6" ht="18.75" customHeight="1" hidden="1">
      <c r="A25" s="299"/>
      <c r="B25" s="180"/>
      <c r="C25" s="190"/>
      <c r="D25" s="176"/>
      <c r="E25" s="190"/>
      <c r="F25" s="270"/>
    </row>
    <row r="26" spans="1:6" s="25" customFormat="1" ht="24" customHeight="1">
      <c r="A26" s="91">
        <v>3</v>
      </c>
      <c r="B26" s="78" t="s">
        <v>200</v>
      </c>
      <c r="C26" s="91" t="s">
        <v>144</v>
      </c>
      <c r="D26" s="176">
        <f>SUM(D28:D31)</f>
        <v>0</v>
      </c>
      <c r="E26" s="91" t="s">
        <v>144</v>
      </c>
      <c r="F26" s="263">
        <f>SUM(F28:F31)</f>
        <v>38000</v>
      </c>
    </row>
    <row r="27" spans="1:6" ht="18">
      <c r="A27" s="299"/>
      <c r="B27" s="79" t="s">
        <v>40</v>
      </c>
      <c r="C27" s="190"/>
      <c r="D27" s="176"/>
      <c r="E27" s="190"/>
      <c r="F27" s="270"/>
    </row>
    <row r="28" spans="1:6" ht="23.25" customHeight="1">
      <c r="A28" s="299"/>
      <c r="B28" s="80" t="s">
        <v>199</v>
      </c>
      <c r="C28" s="190"/>
      <c r="D28" s="176"/>
      <c r="E28" s="190"/>
      <c r="F28" s="270">
        <v>20000</v>
      </c>
    </row>
    <row r="29" spans="1:7" ht="33" customHeight="1">
      <c r="A29" s="299"/>
      <c r="B29" s="80" t="s">
        <v>198</v>
      </c>
      <c r="C29" s="190"/>
      <c r="D29" s="176"/>
      <c r="E29" s="190"/>
      <c r="F29" s="270">
        <v>18000</v>
      </c>
      <c r="G29" s="40"/>
    </row>
    <row r="30" spans="1:6" ht="15.75" customHeight="1" hidden="1">
      <c r="A30" s="299"/>
      <c r="B30" s="80"/>
      <c r="C30" s="190"/>
      <c r="D30" s="176"/>
      <c r="E30" s="190"/>
      <c r="F30" s="270"/>
    </row>
    <row r="31" spans="1:6" ht="18.75" customHeight="1" hidden="1">
      <c r="A31" s="299"/>
      <c r="B31" s="80"/>
      <c r="C31" s="190"/>
      <c r="D31" s="176"/>
      <c r="E31" s="190"/>
      <c r="F31" s="270"/>
    </row>
    <row r="32" spans="1:6" s="25" customFormat="1" ht="20.25" customHeight="1">
      <c r="A32" s="87">
        <v>4</v>
      </c>
      <c r="B32" s="80" t="s">
        <v>197</v>
      </c>
      <c r="C32" s="91" t="s">
        <v>144</v>
      </c>
      <c r="D32" s="176">
        <f>SUM(D35:D39)</f>
        <v>0</v>
      </c>
      <c r="E32" s="91" t="s">
        <v>144</v>
      </c>
      <c r="F32" s="270">
        <f>SUM(F34:F35)</f>
        <v>0</v>
      </c>
    </row>
    <row r="33" spans="1:6" ht="18">
      <c r="A33" s="299"/>
      <c r="B33" s="80" t="s">
        <v>40</v>
      </c>
      <c r="C33" s="190"/>
      <c r="D33" s="176"/>
      <c r="E33" s="190"/>
      <c r="F33" s="270"/>
    </row>
    <row r="34" spans="1:6" ht="18">
      <c r="A34" s="299"/>
      <c r="B34" s="457" t="s">
        <v>443</v>
      </c>
      <c r="C34" s="190"/>
      <c r="D34" s="176"/>
      <c r="E34" s="190">
        <v>2</v>
      </c>
      <c r="F34" s="270"/>
    </row>
    <row r="35" spans="1:6" ht="18.75" customHeight="1" hidden="1">
      <c r="A35" s="299"/>
      <c r="B35" s="80"/>
      <c r="C35" s="190"/>
      <c r="D35" s="176"/>
      <c r="E35" s="190"/>
      <c r="F35" s="270"/>
    </row>
    <row r="36" spans="1:6" ht="18">
      <c r="A36" s="87">
        <v>5</v>
      </c>
      <c r="B36" s="80" t="s">
        <v>359</v>
      </c>
      <c r="C36" s="190"/>
      <c r="D36" s="176"/>
      <c r="E36" s="190"/>
      <c r="F36" s="263">
        <f>F38+F40+F41+F43+F42+F39</f>
        <v>78196</v>
      </c>
    </row>
    <row r="37" spans="1:6" ht="18">
      <c r="A37" s="299"/>
      <c r="B37" s="80" t="s">
        <v>40</v>
      </c>
      <c r="C37" s="190"/>
      <c r="D37" s="176"/>
      <c r="E37" s="190"/>
      <c r="F37" s="270"/>
    </row>
    <row r="38" spans="1:6" ht="54">
      <c r="A38" s="299"/>
      <c r="B38" s="80" t="s">
        <v>470</v>
      </c>
      <c r="C38" s="190"/>
      <c r="D38" s="176"/>
      <c r="E38" s="190">
        <f>1+1+1+1+1+1</f>
        <v>6</v>
      </c>
      <c r="F38" s="270">
        <v>23000</v>
      </c>
    </row>
    <row r="39" spans="1:6" ht="27.75" customHeight="1">
      <c r="A39" s="299"/>
      <c r="B39" s="80" t="s">
        <v>444</v>
      </c>
      <c r="C39" s="190"/>
      <c r="D39" s="176"/>
      <c r="E39" s="190">
        <f>1</f>
        <v>1</v>
      </c>
      <c r="F39" s="270">
        <v>17134</v>
      </c>
    </row>
    <row r="40" spans="1:6" ht="27.75" customHeight="1">
      <c r="A40" s="299"/>
      <c r="B40" s="80" t="s">
        <v>539</v>
      </c>
      <c r="C40" s="190"/>
      <c r="D40" s="176"/>
      <c r="E40" s="190">
        <v>1</v>
      </c>
      <c r="F40" s="270">
        <v>23062</v>
      </c>
    </row>
    <row r="41" spans="1:6" ht="27" customHeight="1">
      <c r="A41" s="299"/>
      <c r="B41" s="80" t="s">
        <v>628</v>
      </c>
      <c r="C41" s="190"/>
      <c r="D41" s="176"/>
      <c r="E41" s="190">
        <v>1</v>
      </c>
      <c r="F41" s="270">
        <v>9000</v>
      </c>
    </row>
    <row r="42" spans="1:6" ht="27" customHeight="1">
      <c r="A42" s="299"/>
      <c r="B42" s="80" t="s">
        <v>629</v>
      </c>
      <c r="C42" s="190"/>
      <c r="D42" s="176"/>
      <c r="E42" s="190"/>
      <c r="F42" s="270">
        <v>6000</v>
      </c>
    </row>
    <row r="43" spans="1:6" ht="18">
      <c r="A43" s="299"/>
      <c r="B43" s="80" t="s">
        <v>538</v>
      </c>
      <c r="C43" s="190"/>
      <c r="D43" s="176"/>
      <c r="E43" s="190">
        <v>1</v>
      </c>
      <c r="F43" s="270"/>
    </row>
    <row r="44" spans="1:6" s="25" customFormat="1" ht="18">
      <c r="A44" s="85"/>
      <c r="B44" s="80" t="s">
        <v>145</v>
      </c>
      <c r="C44" s="91" t="s">
        <v>144</v>
      </c>
      <c r="D44" s="176">
        <f>D32+D26+D20+D12</f>
        <v>0</v>
      </c>
      <c r="E44" s="91" t="s">
        <v>144</v>
      </c>
      <c r="F44" s="247">
        <f>F32+F26+F20+F12+F36</f>
        <v>168716</v>
      </c>
    </row>
    <row r="47" spans="2:6" s="3" customFormat="1" ht="18">
      <c r="B47" s="3" t="s">
        <v>589</v>
      </c>
      <c r="E47" s="3" t="s">
        <v>753</v>
      </c>
      <c r="F47" s="6"/>
    </row>
    <row r="48" spans="2:6" s="3" customFormat="1" ht="18">
      <c r="B48" s="3" t="s">
        <v>606</v>
      </c>
      <c r="E48" s="3" t="s">
        <v>402</v>
      </c>
      <c r="F48" s="6"/>
    </row>
    <row r="49" s="3" customFormat="1" ht="18">
      <c r="F49" s="6"/>
    </row>
    <row r="50" spans="2:6" s="3" customFormat="1" ht="18">
      <c r="B50" s="3" t="s">
        <v>408</v>
      </c>
      <c r="E50" s="3" t="s">
        <v>591</v>
      </c>
      <c r="F50" s="6"/>
    </row>
    <row r="51" spans="2:6" s="3" customFormat="1" ht="18">
      <c r="B51" s="3" t="s">
        <v>606</v>
      </c>
      <c r="E51" s="3" t="s">
        <v>402</v>
      </c>
      <c r="F51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2" top="0.42" bottom="0.37" header="0.31496062992125984" footer="0.31496062992125984"/>
  <pageSetup fitToHeight="1" fitToWidth="1" horizontalDpi="600" verticalDpi="600" orientation="landscape" paperSize="9" scale="5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</sheetPr>
  <dimension ref="A1:F53"/>
  <sheetViews>
    <sheetView view="pageBreakPreview" zoomScale="60" zoomScalePageLayoutView="0" workbookViewId="0" topLeftCell="A3">
      <pane xSplit="2" ySplit="9" topLeftCell="C37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E48" sqref="E48"/>
    </sheetView>
  </sheetViews>
  <sheetFormatPr defaultColWidth="9.140625" defaultRowHeight="15"/>
  <cols>
    <col min="1" max="1" width="8.140625" style="6" customWidth="1"/>
    <col min="2" max="2" width="85.140625" style="6" customWidth="1"/>
    <col min="3" max="3" width="20.8515625" style="6" customWidth="1"/>
    <col min="4" max="4" width="21.421875" style="6" customWidth="1"/>
    <col min="5" max="5" width="28.140625" style="6" customWidth="1"/>
    <col min="6" max="6" width="31.140625" style="6" customWidth="1"/>
    <col min="7" max="7" width="16.57421875" style="6" customWidth="1"/>
    <col min="8" max="8" width="25.28125" style="6" customWidth="1"/>
    <col min="9" max="16384" width="9.140625" style="6" customWidth="1"/>
  </cols>
  <sheetData>
    <row r="1" ht="18">
      <c r="F1" s="11" t="s">
        <v>256</v>
      </c>
    </row>
    <row r="3" spans="1:6" ht="20.25" customHeight="1">
      <c r="A3" s="656" t="s">
        <v>218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720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42" t="s">
        <v>216</v>
      </c>
      <c r="E10" s="42" t="s">
        <v>217</v>
      </c>
      <c r="F10" s="42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 hidden="1">
      <c r="A12" s="298">
        <v>1</v>
      </c>
      <c r="B12" s="213" t="s">
        <v>215</v>
      </c>
      <c r="C12" s="42" t="s">
        <v>144</v>
      </c>
      <c r="D12" s="177">
        <f>SUM(D13:D15)</f>
        <v>0</v>
      </c>
      <c r="E12" s="42" t="s">
        <v>144</v>
      </c>
      <c r="F12" s="257">
        <f>SUM(F13:F15)</f>
        <v>0</v>
      </c>
    </row>
    <row r="13" spans="1:6" ht="18" hidden="1">
      <c r="A13" s="298"/>
      <c r="B13" s="80" t="s">
        <v>360</v>
      </c>
      <c r="C13" s="91"/>
      <c r="D13" s="178"/>
      <c r="E13" s="91"/>
      <c r="F13" s="260"/>
    </row>
    <row r="14" spans="1:6" ht="18" hidden="1">
      <c r="A14" s="298"/>
      <c r="B14" s="80" t="s">
        <v>450</v>
      </c>
      <c r="C14" s="91"/>
      <c r="D14" s="178"/>
      <c r="E14" s="91">
        <v>1</v>
      </c>
      <c r="F14" s="260"/>
    </row>
    <row r="15" spans="1:6" ht="18" hidden="1">
      <c r="A15" s="298"/>
      <c r="B15" s="88"/>
      <c r="C15" s="91"/>
      <c r="D15" s="178"/>
      <c r="E15" s="91"/>
      <c r="F15" s="260"/>
    </row>
    <row r="16" spans="1:6" ht="21" customHeight="1">
      <c r="A16" s="298">
        <v>2</v>
      </c>
      <c r="B16" s="80" t="s">
        <v>214</v>
      </c>
      <c r="C16" s="42" t="s">
        <v>144</v>
      </c>
      <c r="D16" s="177">
        <f>SUM(D17:D19)</f>
        <v>0</v>
      </c>
      <c r="E16" s="42" t="s">
        <v>144</v>
      </c>
      <c r="F16" s="257">
        <f>SUM(F17:F19)</f>
        <v>140000</v>
      </c>
    </row>
    <row r="17" spans="1:6" ht="27.75" customHeight="1">
      <c r="A17" s="298"/>
      <c r="B17" s="80" t="s">
        <v>360</v>
      </c>
      <c r="C17" s="91"/>
      <c r="D17" s="178"/>
      <c r="E17" s="91"/>
      <c r="F17" s="260"/>
    </row>
    <row r="18" spans="1:6" ht="18">
      <c r="A18" s="298"/>
      <c r="B18" s="80" t="s">
        <v>445</v>
      </c>
      <c r="C18" s="91"/>
      <c r="D18" s="178"/>
      <c r="E18" s="91">
        <v>1</v>
      </c>
      <c r="F18" s="260">
        <v>140000</v>
      </c>
    </row>
    <row r="19" spans="1:6" ht="18">
      <c r="A19" s="298"/>
      <c r="B19" s="88"/>
      <c r="C19" s="91"/>
      <c r="D19" s="178"/>
      <c r="E19" s="91"/>
      <c r="F19" s="260"/>
    </row>
    <row r="20" spans="1:6" ht="24" customHeight="1">
      <c r="A20" s="298">
        <v>3</v>
      </c>
      <c r="B20" s="80" t="s">
        <v>213</v>
      </c>
      <c r="C20" s="42" t="s">
        <v>144</v>
      </c>
      <c r="D20" s="177">
        <f>SUM(D21:D23)</f>
        <v>0</v>
      </c>
      <c r="E20" s="42" t="s">
        <v>144</v>
      </c>
      <c r="F20" s="257">
        <f>SUM(F21:F23)</f>
        <v>0</v>
      </c>
    </row>
    <row r="21" spans="1:6" ht="18">
      <c r="A21" s="298"/>
      <c r="B21" s="80" t="s">
        <v>40</v>
      </c>
      <c r="C21" s="91"/>
      <c r="D21" s="178"/>
      <c r="E21" s="91"/>
      <c r="F21" s="260"/>
    </row>
    <row r="22" spans="1:6" ht="18">
      <c r="A22" s="298"/>
      <c r="B22" s="80"/>
      <c r="C22" s="91"/>
      <c r="D22" s="178"/>
      <c r="E22" s="91">
        <f>1+1+1+1+1</f>
        <v>5</v>
      </c>
      <c r="F22" s="260"/>
    </row>
    <row r="23" spans="1:6" ht="18" hidden="1">
      <c r="A23" s="298"/>
      <c r="B23" s="80"/>
      <c r="C23" s="91"/>
      <c r="D23" s="178"/>
      <c r="E23" s="91"/>
      <c r="F23" s="260"/>
    </row>
    <row r="24" spans="1:6" ht="18" customHeight="1">
      <c r="A24" s="298">
        <v>4</v>
      </c>
      <c r="B24" s="80" t="s">
        <v>212</v>
      </c>
      <c r="C24" s="42" t="s">
        <v>144</v>
      </c>
      <c r="D24" s="177">
        <f>SUM(D25:D27)</f>
        <v>0</v>
      </c>
      <c r="E24" s="42" t="s">
        <v>144</v>
      </c>
      <c r="F24" s="257">
        <f>SUM(F25:F27)</f>
        <v>2100</v>
      </c>
    </row>
    <row r="25" spans="1:6" ht="18">
      <c r="A25" s="298"/>
      <c r="B25" s="80" t="s">
        <v>40</v>
      </c>
      <c r="C25" s="91"/>
      <c r="D25" s="178"/>
      <c r="E25" s="91"/>
      <c r="F25" s="260"/>
    </row>
    <row r="26" spans="1:6" ht="18">
      <c r="A26" s="298"/>
      <c r="B26" s="80" t="s">
        <v>648</v>
      </c>
      <c r="C26" s="91"/>
      <c r="D26" s="178"/>
      <c r="E26" s="91"/>
      <c r="F26" s="260">
        <v>2100</v>
      </c>
    </row>
    <row r="27" spans="1:6" ht="18">
      <c r="A27" s="298"/>
      <c r="B27" s="80"/>
      <c r="C27" s="91"/>
      <c r="D27" s="178"/>
      <c r="E27" s="91"/>
      <c r="F27" s="260"/>
    </row>
    <row r="28" spans="1:6" ht="18">
      <c r="A28" s="298"/>
      <c r="B28" s="80"/>
      <c r="C28" s="91"/>
      <c r="D28" s="178"/>
      <c r="E28" s="91"/>
      <c r="F28" s="260"/>
    </row>
    <row r="29" spans="1:6" ht="18">
      <c r="A29" s="298">
        <v>5</v>
      </c>
      <c r="B29" s="80" t="s">
        <v>361</v>
      </c>
      <c r="C29" s="42" t="s">
        <v>144</v>
      </c>
      <c r="D29" s="177">
        <f>SUM(D30:D46)</f>
        <v>0</v>
      </c>
      <c r="E29" s="42" t="s">
        <v>144</v>
      </c>
      <c r="F29" s="257">
        <f>SUM(F31:F45)</f>
        <v>1056800</v>
      </c>
    </row>
    <row r="30" spans="1:6" ht="18">
      <c r="A30" s="298"/>
      <c r="B30" s="80" t="s">
        <v>40</v>
      </c>
      <c r="C30" s="91"/>
      <c r="D30" s="178"/>
      <c r="E30" s="91"/>
      <c r="F30" s="260"/>
    </row>
    <row r="31" spans="1:6" ht="18">
      <c r="A31" s="298"/>
      <c r="B31" s="80" t="s">
        <v>632</v>
      </c>
      <c r="C31" s="91"/>
      <c r="D31" s="178"/>
      <c r="E31" s="91">
        <v>3</v>
      </c>
      <c r="F31" s="322">
        <v>850000</v>
      </c>
    </row>
    <row r="32" spans="1:6" ht="18" hidden="1">
      <c r="A32" s="298"/>
      <c r="B32" s="80" t="s">
        <v>451</v>
      </c>
      <c r="C32" s="91"/>
      <c r="D32" s="178"/>
      <c r="E32" s="91">
        <v>2</v>
      </c>
      <c r="F32" s="270">
        <v>0</v>
      </c>
    </row>
    <row r="33" spans="1:6" ht="18">
      <c r="A33" s="298"/>
      <c r="B33" s="444" t="s">
        <v>649</v>
      </c>
      <c r="C33" s="91"/>
      <c r="D33" s="178"/>
      <c r="E33" s="91">
        <v>1</v>
      </c>
      <c r="F33" s="445">
        <v>12000</v>
      </c>
    </row>
    <row r="34" spans="1:6" ht="18">
      <c r="A34" s="298"/>
      <c r="B34" s="444" t="s">
        <v>650</v>
      </c>
      <c r="C34" s="91"/>
      <c r="D34" s="178"/>
      <c r="E34" s="91">
        <v>1</v>
      </c>
      <c r="F34" s="445">
        <v>45000</v>
      </c>
    </row>
    <row r="35" spans="1:6" ht="18">
      <c r="A35" s="298"/>
      <c r="B35" s="444" t="s">
        <v>658</v>
      </c>
      <c r="C35" s="91"/>
      <c r="D35" s="178"/>
      <c r="E35" s="91">
        <v>1</v>
      </c>
      <c r="F35" s="445">
        <v>20000</v>
      </c>
    </row>
    <row r="36" spans="1:6" ht="18">
      <c r="A36" s="298"/>
      <c r="B36" s="444" t="s">
        <v>651</v>
      </c>
      <c r="C36" s="91"/>
      <c r="D36" s="178"/>
      <c r="E36" s="91">
        <v>1</v>
      </c>
      <c r="F36" s="445">
        <v>6000</v>
      </c>
    </row>
    <row r="37" spans="1:6" ht="18">
      <c r="A37" s="298"/>
      <c r="B37" s="444" t="s">
        <v>670</v>
      </c>
      <c r="C37" s="91"/>
      <c r="D37" s="178"/>
      <c r="E37" s="91"/>
      <c r="F37" s="445">
        <v>40000</v>
      </c>
    </row>
    <row r="38" spans="1:6" ht="18">
      <c r="A38" s="298"/>
      <c r="B38" s="444" t="s">
        <v>669</v>
      </c>
      <c r="C38" s="91"/>
      <c r="D38" s="178"/>
      <c r="E38" s="91">
        <v>3</v>
      </c>
      <c r="F38" s="446">
        <v>12000</v>
      </c>
    </row>
    <row r="39" spans="1:6" ht="18">
      <c r="A39" s="298"/>
      <c r="B39" s="444" t="s">
        <v>652</v>
      </c>
      <c r="C39" s="91"/>
      <c r="D39" s="178"/>
      <c r="E39" s="91">
        <v>4</v>
      </c>
      <c r="F39" s="445">
        <v>6000</v>
      </c>
    </row>
    <row r="40" spans="1:6" ht="18">
      <c r="A40" s="298"/>
      <c r="B40" s="444" t="s">
        <v>653</v>
      </c>
      <c r="C40" s="91"/>
      <c r="D40" s="178"/>
      <c r="E40" s="91">
        <v>1</v>
      </c>
      <c r="F40" s="445">
        <v>16800</v>
      </c>
    </row>
    <row r="41" spans="1:6" ht="18">
      <c r="A41" s="298"/>
      <c r="B41" s="444" t="s">
        <v>654</v>
      </c>
      <c r="C41" s="91"/>
      <c r="D41" s="178"/>
      <c r="E41" s="91">
        <v>1</v>
      </c>
      <c r="F41" s="446">
        <v>6000</v>
      </c>
    </row>
    <row r="42" spans="1:6" ht="18">
      <c r="A42" s="298"/>
      <c r="B42" s="444" t="s">
        <v>657</v>
      </c>
      <c r="C42" s="91"/>
      <c r="D42" s="178"/>
      <c r="E42" s="91">
        <v>1</v>
      </c>
      <c r="F42" s="445">
        <v>11000</v>
      </c>
    </row>
    <row r="43" spans="1:6" ht="18">
      <c r="A43" s="298"/>
      <c r="B43" s="444" t="s">
        <v>655</v>
      </c>
      <c r="C43" s="91"/>
      <c r="D43" s="178"/>
      <c r="E43" s="91">
        <v>2</v>
      </c>
      <c r="F43" s="445">
        <v>12000</v>
      </c>
    </row>
    <row r="44" spans="1:6" ht="18">
      <c r="A44" s="298"/>
      <c r="B44" s="479" t="s">
        <v>701</v>
      </c>
      <c r="C44" s="91"/>
      <c r="D44" s="178"/>
      <c r="E44" s="91"/>
      <c r="F44" s="445">
        <v>4000</v>
      </c>
    </row>
    <row r="45" spans="1:6" ht="18">
      <c r="A45" s="298"/>
      <c r="B45" s="444" t="s">
        <v>668</v>
      </c>
      <c r="C45" s="91"/>
      <c r="D45" s="178"/>
      <c r="E45" s="91">
        <v>1</v>
      </c>
      <c r="F45" s="445">
        <v>16000</v>
      </c>
    </row>
    <row r="46" spans="1:6" ht="21" customHeight="1">
      <c r="A46" s="268"/>
      <c r="B46" s="77" t="s">
        <v>145</v>
      </c>
      <c r="C46" s="100" t="s">
        <v>144</v>
      </c>
      <c r="D46" s="179">
        <f>SUM(D47:D48)</f>
        <v>0</v>
      </c>
      <c r="E46" s="100" t="s">
        <v>144</v>
      </c>
      <c r="F46" s="259">
        <f>F20+F24+F29+F16+F12</f>
        <v>1198900</v>
      </c>
    </row>
    <row r="49" spans="2:6" s="3" customFormat="1" ht="18">
      <c r="B49" s="3" t="s">
        <v>589</v>
      </c>
      <c r="E49" s="3" t="s">
        <v>753</v>
      </c>
      <c r="F49" s="6"/>
    </row>
    <row r="50" spans="2:6" s="3" customFormat="1" ht="18">
      <c r="B50" s="3" t="s">
        <v>606</v>
      </c>
      <c r="E50" s="3" t="s">
        <v>402</v>
      </c>
      <c r="F50" s="6"/>
    </row>
    <row r="51" s="3" customFormat="1" ht="18">
      <c r="F51" s="6"/>
    </row>
    <row r="52" spans="2:6" s="3" customFormat="1" ht="18">
      <c r="B52" s="3" t="s">
        <v>408</v>
      </c>
      <c r="E52" s="3" t="s">
        <v>591</v>
      </c>
      <c r="F52" s="6"/>
    </row>
    <row r="53" spans="2:6" s="3" customFormat="1" ht="18">
      <c r="B53" s="3" t="s">
        <v>606</v>
      </c>
      <c r="E53" s="3" t="s">
        <v>402</v>
      </c>
      <c r="F53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2755905511811024" top="0.24" bottom="0.21" header="0.2" footer="0.21"/>
  <pageSetup horizontalDpi="600" verticalDpi="600" orientation="landscape" paperSize="9" scale="6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5"/>
  <sheetViews>
    <sheetView view="pageBreakPreview" zoomScale="60" zoomScaleNormal="75" zoomScalePageLayoutView="0" workbookViewId="0" topLeftCell="A4">
      <selection activeCell="D20" sqref="D20"/>
    </sheetView>
  </sheetViews>
  <sheetFormatPr defaultColWidth="9.140625" defaultRowHeight="15"/>
  <cols>
    <col min="1" max="1" width="8.140625" style="6" customWidth="1"/>
    <col min="2" max="2" width="85.140625" style="6" customWidth="1"/>
    <col min="3" max="3" width="20.421875" style="6" customWidth="1"/>
    <col min="4" max="4" width="16.57421875" style="6" customWidth="1"/>
    <col min="5" max="5" width="18.140625" style="6" customWidth="1"/>
    <col min="6" max="6" width="31.140625" style="6" customWidth="1"/>
    <col min="7" max="16384" width="9.140625" style="6" customWidth="1"/>
  </cols>
  <sheetData>
    <row r="1" ht="18">
      <c r="F1" s="11" t="s">
        <v>256</v>
      </c>
    </row>
    <row r="3" spans="1:6" ht="20.25" customHeight="1">
      <c r="A3" s="656" t="s">
        <v>700</v>
      </c>
      <c r="B3" s="656"/>
      <c r="C3" s="656"/>
      <c r="D3" s="656"/>
      <c r="E3" s="656"/>
      <c r="F3" s="656"/>
    </row>
    <row r="4" spans="1:6" ht="20.25" customHeight="1">
      <c r="A4" s="660" t="s">
        <v>716</v>
      </c>
      <c r="B4" s="660"/>
      <c r="C4" s="660"/>
      <c r="D4" s="660"/>
      <c r="E4" s="660"/>
      <c r="F4" s="660"/>
    </row>
    <row r="5" spans="1:6" ht="20.25" customHeight="1">
      <c r="A5" s="646" t="s">
        <v>344</v>
      </c>
      <c r="B5" s="646"/>
      <c r="C5" s="646"/>
      <c r="D5" s="646"/>
      <c r="E5" s="646"/>
      <c r="F5" s="646"/>
    </row>
    <row r="6" spans="1:6" s="70" customFormat="1" ht="27.75">
      <c r="A6" s="660" t="s">
        <v>720</v>
      </c>
      <c r="B6" s="660"/>
      <c r="C6" s="660"/>
      <c r="D6" s="660"/>
      <c r="E6" s="660"/>
      <c r="F6" s="660"/>
    </row>
    <row r="7" spans="1:6" s="70" customFormat="1" ht="24.75" customHeight="1">
      <c r="A7" s="665" t="s">
        <v>252</v>
      </c>
      <c r="B7" s="665"/>
      <c r="C7" s="665"/>
      <c r="D7" s="665"/>
      <c r="E7" s="665"/>
      <c r="F7" s="665"/>
    </row>
    <row r="8" spans="2:3" ht="15">
      <c r="B8" s="112"/>
      <c r="C8" s="112"/>
    </row>
    <row r="9" spans="1:6" ht="17.25">
      <c r="A9" s="583" t="s">
        <v>157</v>
      </c>
      <c r="B9" s="583" t="s">
        <v>156</v>
      </c>
      <c r="C9" s="668" t="s">
        <v>253</v>
      </c>
      <c r="D9" s="669"/>
      <c r="E9" s="670" t="s">
        <v>254</v>
      </c>
      <c r="F9" s="669"/>
    </row>
    <row r="10" spans="1:6" ht="36">
      <c r="A10" s="583"/>
      <c r="B10" s="583"/>
      <c r="C10" s="122" t="s">
        <v>217</v>
      </c>
      <c r="D10" s="337" t="s">
        <v>216</v>
      </c>
      <c r="E10" s="337" t="s">
        <v>217</v>
      </c>
      <c r="F10" s="337" t="s">
        <v>216</v>
      </c>
    </row>
    <row r="11" spans="1:6" ht="18">
      <c r="A11" s="102">
        <v>1</v>
      </c>
      <c r="B11" s="102">
        <v>2</v>
      </c>
      <c r="C11" s="91">
        <v>3</v>
      </c>
      <c r="D11" s="91">
        <v>4</v>
      </c>
      <c r="E11" s="91">
        <v>5</v>
      </c>
      <c r="F11" s="91">
        <v>6</v>
      </c>
    </row>
    <row r="12" spans="1:6" ht="39.75" customHeight="1">
      <c r="A12" s="298">
        <v>1</v>
      </c>
      <c r="B12" s="80" t="s">
        <v>215</v>
      </c>
      <c r="C12" s="337" t="s">
        <v>144</v>
      </c>
      <c r="D12" s="177">
        <f>SUM(D13:D15)</f>
        <v>0</v>
      </c>
      <c r="E12" s="337" t="s">
        <v>144</v>
      </c>
      <c r="F12" s="259">
        <f>SUM(F13:F15)</f>
        <v>4400</v>
      </c>
    </row>
    <row r="13" spans="1:6" ht="18">
      <c r="A13" s="298"/>
      <c r="B13" s="80" t="s">
        <v>360</v>
      </c>
      <c r="C13" s="91"/>
      <c r="D13" s="178"/>
      <c r="E13" s="91"/>
      <c r="F13" s="258"/>
    </row>
    <row r="14" spans="1:6" ht="18">
      <c r="A14" s="298"/>
      <c r="B14" s="88" t="s">
        <v>708</v>
      </c>
      <c r="C14" s="91"/>
      <c r="D14" s="178"/>
      <c r="E14" s="91">
        <v>1</v>
      </c>
      <c r="F14" s="258">
        <v>4400</v>
      </c>
    </row>
    <row r="15" spans="1:6" ht="18" hidden="1">
      <c r="A15" s="298"/>
      <c r="B15" s="88"/>
      <c r="C15" s="91"/>
      <c r="D15" s="178"/>
      <c r="E15" s="91"/>
      <c r="F15" s="258"/>
    </row>
    <row r="16" spans="1:6" ht="18" hidden="1">
      <c r="A16" s="298"/>
      <c r="B16" s="88"/>
      <c r="C16" s="91"/>
      <c r="D16" s="178"/>
      <c r="E16" s="91"/>
      <c r="F16" s="258"/>
    </row>
    <row r="17" spans="1:6" ht="18">
      <c r="A17" s="268"/>
      <c r="B17" s="80"/>
      <c r="C17" s="91"/>
      <c r="D17" s="178"/>
      <c r="E17" s="91"/>
      <c r="F17" s="260">
        <v>0</v>
      </c>
    </row>
    <row r="18" spans="1:6" ht="21" customHeight="1">
      <c r="A18" s="268"/>
      <c r="B18" s="77" t="s">
        <v>145</v>
      </c>
      <c r="C18" s="100" t="s">
        <v>144</v>
      </c>
      <c r="D18" s="179">
        <f>SUM(D19:D20)</f>
        <v>0</v>
      </c>
      <c r="E18" s="100" t="s">
        <v>144</v>
      </c>
      <c r="F18" s="259">
        <f>F12</f>
        <v>4400</v>
      </c>
    </row>
    <row r="19" ht="14.25">
      <c r="F19" s="254"/>
    </row>
    <row r="21" spans="2:6" s="3" customFormat="1" ht="18">
      <c r="B21" s="3" t="s">
        <v>589</v>
      </c>
      <c r="E21" s="3" t="s">
        <v>753</v>
      </c>
      <c r="F21" s="6"/>
    </row>
    <row r="22" spans="2:6" s="3" customFormat="1" ht="18">
      <c r="B22" s="3" t="s">
        <v>606</v>
      </c>
      <c r="E22" s="3" t="s">
        <v>402</v>
      </c>
      <c r="F22" s="6"/>
    </row>
    <row r="23" s="3" customFormat="1" ht="18">
      <c r="F23" s="6"/>
    </row>
    <row r="24" spans="2:6" s="3" customFormat="1" ht="18">
      <c r="B24" s="3" t="s">
        <v>408</v>
      </c>
      <c r="E24" s="3" t="s">
        <v>591</v>
      </c>
      <c r="F24" s="6"/>
    </row>
    <row r="25" spans="2:6" s="3" customFormat="1" ht="18">
      <c r="B25" s="3" t="s">
        <v>606</v>
      </c>
      <c r="E25" s="3" t="s">
        <v>402</v>
      </c>
      <c r="F25" s="6"/>
    </row>
  </sheetData>
  <sheetProtection/>
  <mergeCells count="9">
    <mergeCell ref="A3:F3"/>
    <mergeCell ref="A4:F4"/>
    <mergeCell ref="A5:F5"/>
    <mergeCell ref="A6:F6"/>
    <mergeCell ref="A7:F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3"/>
  <sheetViews>
    <sheetView view="pageBreakPreview" zoomScale="60" zoomScaleNormal="60" zoomScalePageLayoutView="0" workbookViewId="0" topLeftCell="A54">
      <selection activeCell="G84" sqref="G84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9.421875" style="6" customWidth="1"/>
    <col min="4" max="4" width="26.28125" style="25" customWidth="1"/>
    <col min="5" max="6" width="22.7109375" style="6" customWidth="1"/>
    <col min="7" max="7" width="26.28125" style="6" customWidth="1"/>
    <col min="8" max="8" width="27.7109375" style="6" customWidth="1"/>
    <col min="9" max="9" width="18.421875" style="6" customWidth="1"/>
    <col min="10" max="16384" width="9.140625" style="6" customWidth="1"/>
  </cols>
  <sheetData>
    <row r="1" spans="1:4" ht="18">
      <c r="A1" s="14"/>
      <c r="D1" s="6"/>
    </row>
    <row r="2" ht="14.25">
      <c r="A2" s="19"/>
    </row>
    <row r="3" ht="14.25">
      <c r="A3" s="20"/>
    </row>
    <row r="4" spans="1:9" ht="17.25">
      <c r="A4" s="576" t="s">
        <v>96</v>
      </c>
      <c r="B4" s="576"/>
      <c r="C4" s="576"/>
      <c r="D4" s="576"/>
      <c r="E4" s="576"/>
      <c r="F4" s="576"/>
      <c r="G4" s="576"/>
      <c r="H4" s="576"/>
      <c r="I4" s="576"/>
    </row>
    <row r="5" spans="1:9" ht="20.25">
      <c r="A5" s="453"/>
      <c r="B5" s="453"/>
      <c r="C5" s="453"/>
      <c r="D5" s="456"/>
      <c r="E5" s="501" t="s">
        <v>596</v>
      </c>
      <c r="F5" s="451"/>
      <c r="G5" s="456"/>
      <c r="H5" s="453"/>
      <c r="I5" s="453"/>
    </row>
    <row r="6" spans="1:9" ht="18">
      <c r="A6" s="453"/>
      <c r="B6" s="453"/>
      <c r="C6" s="453"/>
      <c r="D6" s="453"/>
      <c r="E6" s="452" t="s">
        <v>344</v>
      </c>
      <c r="F6" s="452"/>
      <c r="G6" s="453"/>
      <c r="H6" s="453"/>
      <c r="I6" s="453"/>
    </row>
    <row r="7" spans="1:9" ht="18">
      <c r="A7" s="586" t="s">
        <v>742</v>
      </c>
      <c r="B7" s="586"/>
      <c r="C7" s="586"/>
      <c r="D7" s="586"/>
      <c r="E7" s="586"/>
      <c r="F7" s="586"/>
      <c r="G7" s="586"/>
      <c r="H7" s="586"/>
      <c r="I7" s="586"/>
    </row>
    <row r="8" spans="1:7" ht="17.25" customHeight="1">
      <c r="A8" s="20"/>
      <c r="D8" s="575"/>
      <c r="E8" s="575"/>
      <c r="F8" s="575"/>
      <c r="G8" s="575"/>
    </row>
    <row r="9" spans="1:9" ht="18">
      <c r="A9" s="578" t="s">
        <v>20</v>
      </c>
      <c r="B9" s="580" t="s">
        <v>56</v>
      </c>
      <c r="C9" s="580" t="s">
        <v>72</v>
      </c>
      <c r="D9" s="559" t="s">
        <v>74</v>
      </c>
      <c r="E9" s="560"/>
      <c r="F9" s="560"/>
      <c r="G9" s="560"/>
      <c r="H9" s="560"/>
      <c r="I9" s="560"/>
    </row>
    <row r="10" spans="1:9" ht="18">
      <c r="A10" s="578"/>
      <c r="B10" s="587"/>
      <c r="C10" s="581"/>
      <c r="D10" s="562" t="s">
        <v>349</v>
      </c>
      <c r="E10" s="563" t="s">
        <v>21</v>
      </c>
      <c r="F10" s="564"/>
      <c r="G10" s="564"/>
      <c r="H10" s="564"/>
      <c r="I10" s="564"/>
    </row>
    <row r="11" spans="1:9" ht="15" customHeight="1">
      <c r="A11" s="578"/>
      <c r="B11" s="587"/>
      <c r="C11" s="581"/>
      <c r="D11" s="562"/>
      <c r="E11" s="566" t="s">
        <v>73</v>
      </c>
      <c r="F11" s="566" t="s">
        <v>679</v>
      </c>
      <c r="G11" s="569" t="s">
        <v>680</v>
      </c>
      <c r="H11" s="569" t="s">
        <v>681</v>
      </c>
      <c r="I11" s="583" t="s">
        <v>350</v>
      </c>
    </row>
    <row r="12" spans="1:9" ht="15" customHeight="1">
      <c r="A12" s="578"/>
      <c r="B12" s="587"/>
      <c r="C12" s="581"/>
      <c r="D12" s="562"/>
      <c r="E12" s="567"/>
      <c r="F12" s="567"/>
      <c r="G12" s="570"/>
      <c r="H12" s="570"/>
      <c r="I12" s="583"/>
    </row>
    <row r="13" spans="1:9" ht="15" customHeight="1">
      <c r="A13" s="578"/>
      <c r="B13" s="587"/>
      <c r="C13" s="581"/>
      <c r="D13" s="562"/>
      <c r="E13" s="567"/>
      <c r="F13" s="567"/>
      <c r="G13" s="570"/>
      <c r="H13" s="570"/>
      <c r="I13" s="583"/>
    </row>
    <row r="14" spans="1:9" ht="15" customHeight="1">
      <c r="A14" s="578"/>
      <c r="B14" s="587"/>
      <c r="C14" s="581"/>
      <c r="D14" s="562"/>
      <c r="E14" s="567"/>
      <c r="F14" s="567"/>
      <c r="G14" s="570"/>
      <c r="H14" s="570"/>
      <c r="I14" s="583"/>
    </row>
    <row r="15" spans="1:9" ht="15" customHeight="1">
      <c r="A15" s="578"/>
      <c r="B15" s="587"/>
      <c r="C15" s="581"/>
      <c r="D15" s="562"/>
      <c r="E15" s="567"/>
      <c r="F15" s="567"/>
      <c r="G15" s="570"/>
      <c r="H15" s="570"/>
      <c r="I15" s="583"/>
    </row>
    <row r="16" spans="1:9" ht="15" customHeight="1">
      <c r="A16" s="578"/>
      <c r="B16" s="587"/>
      <c r="C16" s="581"/>
      <c r="D16" s="562"/>
      <c r="E16" s="567"/>
      <c r="F16" s="567"/>
      <c r="G16" s="570"/>
      <c r="H16" s="570"/>
      <c r="I16" s="583"/>
    </row>
    <row r="17" spans="1:9" ht="33.75" customHeight="1">
      <c r="A17" s="578"/>
      <c r="B17" s="587"/>
      <c r="C17" s="581"/>
      <c r="D17" s="562"/>
      <c r="E17" s="567"/>
      <c r="F17" s="567"/>
      <c r="G17" s="570"/>
      <c r="H17" s="570"/>
      <c r="I17" s="583"/>
    </row>
    <row r="18" spans="1:9" ht="107.25" customHeight="1">
      <c r="A18" s="578"/>
      <c r="B18" s="588"/>
      <c r="C18" s="582"/>
      <c r="D18" s="562"/>
      <c r="E18" s="568"/>
      <c r="F18" s="568"/>
      <c r="G18" s="571"/>
      <c r="H18" s="571"/>
      <c r="I18" s="583"/>
    </row>
    <row r="19" spans="1:9" s="153" customFormat="1" ht="18">
      <c r="A19" s="455">
        <v>1</v>
      </c>
      <c r="B19" s="455">
        <v>2</v>
      </c>
      <c r="C19" s="455">
        <v>3</v>
      </c>
      <c r="D19" s="455">
        <v>4</v>
      </c>
      <c r="E19" s="455">
        <v>5</v>
      </c>
      <c r="F19" s="455">
        <v>6</v>
      </c>
      <c r="G19" s="455">
        <v>7</v>
      </c>
      <c r="H19" s="455">
        <v>8</v>
      </c>
      <c r="I19" s="455">
        <v>9</v>
      </c>
    </row>
    <row r="20" spans="1:9" s="25" customFormat="1" ht="34.5">
      <c r="A20" s="10" t="s">
        <v>79</v>
      </c>
      <c r="B20" s="27" t="s">
        <v>81</v>
      </c>
      <c r="C20" s="454" t="s">
        <v>60</v>
      </c>
      <c r="D20" s="28"/>
      <c r="E20" s="28"/>
      <c r="F20" s="28"/>
      <c r="G20" s="28"/>
      <c r="H20" s="28"/>
      <c r="I20" s="28"/>
    </row>
    <row r="21" spans="1:9" ht="17.25">
      <c r="A21" s="10" t="s">
        <v>84</v>
      </c>
      <c r="B21" s="454">
        <v>100</v>
      </c>
      <c r="C21" s="454" t="s">
        <v>63</v>
      </c>
      <c r="D21" s="28"/>
      <c r="E21" s="28">
        <f>SUM(E22:E23)</f>
        <v>2404600</v>
      </c>
      <c r="F21" s="28"/>
      <c r="G21" s="28">
        <f>SUM(G22:G23)</f>
        <v>0</v>
      </c>
      <c r="H21" s="28">
        <f>SUM(H22:H23)</f>
        <v>0</v>
      </c>
      <c r="I21" s="28">
        <f>SUM(I22:I23)</f>
        <v>0</v>
      </c>
    </row>
    <row r="22" spans="1:9" ht="108" hidden="1">
      <c r="A22" s="2" t="s">
        <v>62</v>
      </c>
      <c r="B22" s="22" t="s">
        <v>83</v>
      </c>
      <c r="C22" s="455">
        <v>130</v>
      </c>
      <c r="D22" s="28"/>
      <c r="E22" s="29"/>
      <c r="F22" s="29"/>
      <c r="G22" s="29"/>
      <c r="H22" s="29"/>
      <c r="I22" s="29"/>
    </row>
    <row r="23" spans="1:9" ht="36">
      <c r="A23" s="2" t="s">
        <v>86</v>
      </c>
      <c r="B23" s="455">
        <v>120</v>
      </c>
      <c r="C23" s="455">
        <v>130</v>
      </c>
      <c r="D23" s="28"/>
      <c r="E23" s="455">
        <v>2404600</v>
      </c>
      <c r="F23" s="455"/>
      <c r="G23" s="455"/>
      <c r="H23" s="455"/>
      <c r="I23" s="455"/>
    </row>
    <row r="24" spans="1:9" s="26" customFormat="1" ht="18">
      <c r="A24" s="30" t="s">
        <v>64</v>
      </c>
      <c r="B24" s="31">
        <v>200</v>
      </c>
      <c r="C24" s="31" t="s">
        <v>63</v>
      </c>
      <c r="D24" s="28"/>
      <c r="E24" s="32">
        <f>E25+E32+E39++E48+E50+E55+E56+E57</f>
        <v>2404599.99515</v>
      </c>
      <c r="F24" s="32"/>
      <c r="G24" s="32">
        <f>G25+G32+G39++G48+G50+G55+G56+G57</f>
        <v>0</v>
      </c>
      <c r="H24" s="32">
        <f>H25+H32+H39++H48+H50+H55+H56+H57</f>
        <v>0</v>
      </c>
      <c r="I24" s="32">
        <f>I25+I32+I39++I48+I50+I55+I56+I57</f>
        <v>0</v>
      </c>
    </row>
    <row r="25" spans="1:9" s="26" customFormat="1" ht="36">
      <c r="A25" s="33" t="s">
        <v>307</v>
      </c>
      <c r="B25" s="31">
        <v>210</v>
      </c>
      <c r="C25" s="31">
        <v>100</v>
      </c>
      <c r="D25" s="28"/>
      <c r="E25" s="34">
        <f>E26+E28+E29</f>
        <v>1766999.996</v>
      </c>
      <c r="F25" s="34"/>
      <c r="G25" s="34">
        <f>G26+G28+G29</f>
        <v>0</v>
      </c>
      <c r="H25" s="34">
        <f>H26+H28+H29</f>
        <v>0</v>
      </c>
      <c r="I25" s="34">
        <f>I26+I28+I29</f>
        <v>0</v>
      </c>
    </row>
    <row r="26" spans="1:9" s="26" customFormat="1" ht="54">
      <c r="A26" s="33" t="s">
        <v>308</v>
      </c>
      <c r="B26" s="31">
        <v>211</v>
      </c>
      <c r="C26" s="217">
        <v>111.119</v>
      </c>
      <c r="D26" s="28"/>
      <c r="E26" s="34">
        <f>E27+E30</f>
        <v>1766999.996</v>
      </c>
      <c r="F26" s="34"/>
      <c r="G26" s="34">
        <f>G27+G30</f>
        <v>0</v>
      </c>
      <c r="H26" s="34">
        <f>H27+H30</f>
        <v>0</v>
      </c>
      <c r="I26" s="34">
        <f>I27+I30</f>
        <v>0</v>
      </c>
    </row>
    <row r="27" spans="1:9" s="26" customFormat="1" ht="18">
      <c r="A27" s="33" t="s">
        <v>309</v>
      </c>
      <c r="B27" s="31">
        <v>212</v>
      </c>
      <c r="C27" s="31">
        <v>111</v>
      </c>
      <c r="D27" s="28"/>
      <c r="E27" s="34">
        <f>'111 Б'!J32*1000</f>
        <v>1357143</v>
      </c>
      <c r="F27" s="34"/>
      <c r="G27" s="34"/>
      <c r="H27" s="34"/>
      <c r="I27" s="34"/>
    </row>
    <row r="28" spans="1:9" s="26" customFormat="1" ht="54" hidden="1">
      <c r="A28" s="35" t="s">
        <v>310</v>
      </c>
      <c r="B28" s="31">
        <v>213</v>
      </c>
      <c r="C28" s="31">
        <v>112</v>
      </c>
      <c r="D28" s="28"/>
      <c r="E28" s="34"/>
      <c r="F28" s="34"/>
      <c r="G28" s="34"/>
      <c r="H28" s="34"/>
      <c r="I28" s="34"/>
    </row>
    <row r="29" spans="1:9" s="26" customFormat="1" ht="115.5" customHeight="1" hidden="1">
      <c r="A29" s="33" t="s">
        <v>311</v>
      </c>
      <c r="B29" s="31">
        <v>214</v>
      </c>
      <c r="C29" s="31">
        <v>113</v>
      </c>
      <c r="D29" s="28"/>
      <c r="E29" s="34"/>
      <c r="F29" s="34"/>
      <c r="G29" s="34"/>
      <c r="H29" s="34"/>
      <c r="I29" s="34"/>
    </row>
    <row r="30" spans="1:9" s="26" customFormat="1" ht="90">
      <c r="A30" s="33" t="s">
        <v>312</v>
      </c>
      <c r="B30" s="31">
        <v>215</v>
      </c>
      <c r="C30" s="31">
        <v>119</v>
      </c>
      <c r="D30" s="28"/>
      <c r="E30" s="34">
        <f>'119 Б'!D22</f>
        <v>409856.99600000004</v>
      </c>
      <c r="F30" s="34"/>
      <c r="G30" s="34"/>
      <c r="H30" s="34"/>
      <c r="I30" s="34"/>
    </row>
    <row r="31" spans="1:9" s="26" customFormat="1" ht="18" hidden="1">
      <c r="A31" s="33"/>
      <c r="B31" s="31"/>
      <c r="C31" s="31"/>
      <c r="D31" s="28"/>
      <c r="E31" s="34"/>
      <c r="F31" s="34"/>
      <c r="G31" s="34"/>
      <c r="H31" s="34"/>
      <c r="I31" s="34"/>
    </row>
    <row r="32" spans="1:9" s="26" customFormat="1" ht="36" hidden="1">
      <c r="A32" s="33" t="s">
        <v>313</v>
      </c>
      <c r="B32" s="31">
        <v>220</v>
      </c>
      <c r="C32" s="31">
        <v>300</v>
      </c>
      <c r="D32" s="28"/>
      <c r="E32" s="34">
        <f>E33+E35+E36+E37</f>
        <v>0</v>
      </c>
      <c r="F32" s="34"/>
      <c r="G32" s="34">
        <f>G33+G35+G36+G37</f>
        <v>0</v>
      </c>
      <c r="H32" s="34">
        <f>H33+H35+H36+H37</f>
        <v>0</v>
      </c>
      <c r="I32" s="34">
        <f>I33+I35+I36+I37</f>
        <v>0</v>
      </c>
    </row>
    <row r="33" spans="1:9" s="26" customFormat="1" ht="72" hidden="1">
      <c r="A33" s="33" t="s">
        <v>314</v>
      </c>
      <c r="B33" s="31">
        <v>221</v>
      </c>
      <c r="C33" s="31">
        <v>320</v>
      </c>
      <c r="D33" s="28"/>
      <c r="E33" s="34">
        <f>E34</f>
        <v>0</v>
      </c>
      <c r="F33" s="34"/>
      <c r="G33" s="34">
        <f>G34</f>
        <v>0</v>
      </c>
      <c r="H33" s="34">
        <f>H34</f>
        <v>0</v>
      </c>
      <c r="I33" s="34">
        <f>I34</f>
        <v>0</v>
      </c>
    </row>
    <row r="34" spans="1:9" s="26" customFormat="1" ht="72" hidden="1">
      <c r="A34" s="33" t="s">
        <v>315</v>
      </c>
      <c r="B34" s="31">
        <v>222</v>
      </c>
      <c r="C34" s="31">
        <v>321</v>
      </c>
      <c r="D34" s="28"/>
      <c r="E34" s="34"/>
      <c r="F34" s="34"/>
      <c r="G34" s="34"/>
      <c r="H34" s="34"/>
      <c r="I34" s="34"/>
    </row>
    <row r="35" spans="1:9" s="26" customFormat="1" ht="18" hidden="1">
      <c r="A35" s="33" t="s">
        <v>316</v>
      </c>
      <c r="B35" s="31">
        <v>223</v>
      </c>
      <c r="C35" s="31">
        <v>340</v>
      </c>
      <c r="D35" s="28"/>
      <c r="E35" s="34"/>
      <c r="F35" s="34"/>
      <c r="G35" s="34"/>
      <c r="H35" s="34"/>
      <c r="I35" s="34"/>
    </row>
    <row r="36" spans="1:9" s="26" customFormat="1" ht="18" hidden="1">
      <c r="A36" s="33" t="s">
        <v>317</v>
      </c>
      <c r="B36" s="31">
        <v>224</v>
      </c>
      <c r="C36" s="31">
        <v>350</v>
      </c>
      <c r="D36" s="28"/>
      <c r="E36" s="34"/>
      <c r="F36" s="34"/>
      <c r="G36" s="34"/>
      <c r="H36" s="34"/>
      <c r="I36" s="34"/>
    </row>
    <row r="37" spans="1:9" s="26" customFormat="1" ht="18" hidden="1">
      <c r="A37" s="33" t="s">
        <v>318</v>
      </c>
      <c r="B37" s="31">
        <v>225</v>
      </c>
      <c r="C37" s="31">
        <v>360</v>
      </c>
      <c r="D37" s="28"/>
      <c r="E37" s="34"/>
      <c r="F37" s="34"/>
      <c r="G37" s="34"/>
      <c r="H37" s="34"/>
      <c r="I37" s="34"/>
    </row>
    <row r="38" spans="1:9" s="26" customFormat="1" ht="18" hidden="1">
      <c r="A38" s="35"/>
      <c r="B38" s="31"/>
      <c r="C38" s="31"/>
      <c r="D38" s="28"/>
      <c r="E38" s="34"/>
      <c r="F38" s="34"/>
      <c r="G38" s="34"/>
      <c r="H38" s="34"/>
      <c r="I38" s="34"/>
    </row>
    <row r="39" spans="1:9" s="26" customFormat="1" ht="36" hidden="1">
      <c r="A39" s="33" t="s">
        <v>319</v>
      </c>
      <c r="B39" s="31">
        <v>226</v>
      </c>
      <c r="C39" s="31">
        <v>800</v>
      </c>
      <c r="D39" s="28"/>
      <c r="E39" s="34">
        <f>E40+E42+E46</f>
        <v>0</v>
      </c>
      <c r="F39" s="34"/>
      <c r="G39" s="34">
        <f>G40+G42+G46</f>
        <v>0</v>
      </c>
      <c r="H39" s="34">
        <f>H40+H42+H46</f>
        <v>0</v>
      </c>
      <c r="I39" s="34">
        <f>I40+I42+I46</f>
        <v>0</v>
      </c>
    </row>
    <row r="40" spans="1:9" s="26" customFormat="1" ht="108" hidden="1">
      <c r="A40" s="35" t="s">
        <v>65</v>
      </c>
      <c r="B40" s="31">
        <v>227</v>
      </c>
      <c r="C40" s="31">
        <v>831</v>
      </c>
      <c r="D40" s="28"/>
      <c r="E40" s="34"/>
      <c r="F40" s="34"/>
      <c r="G40" s="34"/>
      <c r="H40" s="34"/>
      <c r="I40" s="34"/>
    </row>
    <row r="41" spans="1:9" s="26" customFormat="1" ht="18" hidden="1">
      <c r="A41" s="33"/>
      <c r="B41" s="31"/>
      <c r="C41" s="31"/>
      <c r="D41" s="28"/>
      <c r="E41" s="34"/>
      <c r="F41" s="34"/>
      <c r="G41" s="34"/>
      <c r="H41" s="34"/>
      <c r="I41" s="34"/>
    </row>
    <row r="42" spans="1:9" s="26" customFormat="1" ht="36" hidden="1">
      <c r="A42" s="33" t="s">
        <v>320</v>
      </c>
      <c r="B42" s="31">
        <v>230</v>
      </c>
      <c r="C42" s="31">
        <v>850</v>
      </c>
      <c r="D42" s="28"/>
      <c r="E42" s="34">
        <f>SUM(E43:E45)</f>
        <v>0</v>
      </c>
      <c r="F42" s="34"/>
      <c r="G42" s="34">
        <f>SUM(G43:G45)</f>
        <v>0</v>
      </c>
      <c r="H42" s="34">
        <f>SUM(H43:H45)</f>
        <v>0</v>
      </c>
      <c r="I42" s="34">
        <f>SUM(I43:I45)</f>
        <v>0</v>
      </c>
    </row>
    <row r="43" spans="1:9" s="26" customFormat="1" ht="36" hidden="1">
      <c r="A43" s="33" t="s">
        <v>321</v>
      </c>
      <c r="B43" s="31">
        <v>231</v>
      </c>
      <c r="C43" s="31">
        <v>851</v>
      </c>
      <c r="D43" s="28"/>
      <c r="E43" s="34"/>
      <c r="F43" s="34"/>
      <c r="G43" s="34"/>
      <c r="H43" s="34"/>
      <c r="I43" s="34"/>
    </row>
    <row r="44" spans="1:9" s="26" customFormat="1" ht="18" hidden="1">
      <c r="A44" s="33" t="s">
        <v>322</v>
      </c>
      <c r="B44" s="31">
        <v>232</v>
      </c>
      <c r="C44" s="31">
        <v>852</v>
      </c>
      <c r="D44" s="28"/>
      <c r="E44" s="34"/>
      <c r="F44" s="34"/>
      <c r="G44" s="34"/>
      <c r="H44" s="34"/>
      <c r="I44" s="34"/>
    </row>
    <row r="45" spans="1:9" s="26" customFormat="1" ht="18" hidden="1">
      <c r="A45" s="33" t="s">
        <v>323</v>
      </c>
      <c r="B45" s="31">
        <v>233</v>
      </c>
      <c r="C45" s="31">
        <v>853</v>
      </c>
      <c r="D45" s="28"/>
      <c r="E45" s="34"/>
      <c r="F45" s="34"/>
      <c r="G45" s="34"/>
      <c r="H45" s="34"/>
      <c r="I45" s="34"/>
    </row>
    <row r="46" spans="1:9" s="26" customFormat="1" ht="72" hidden="1">
      <c r="A46" s="33" t="s">
        <v>66</v>
      </c>
      <c r="B46" s="31">
        <v>234</v>
      </c>
      <c r="C46" s="31">
        <v>860</v>
      </c>
      <c r="D46" s="28"/>
      <c r="E46" s="34"/>
      <c r="F46" s="34"/>
      <c r="G46" s="34"/>
      <c r="H46" s="34"/>
      <c r="I46" s="34"/>
    </row>
    <row r="47" spans="1:9" s="26" customFormat="1" ht="18" hidden="1">
      <c r="A47" s="33"/>
      <c r="B47" s="31"/>
      <c r="C47" s="31"/>
      <c r="D47" s="28"/>
      <c r="E47" s="34"/>
      <c r="F47" s="34"/>
      <c r="G47" s="34"/>
      <c r="H47" s="34"/>
      <c r="I47" s="34"/>
    </row>
    <row r="48" spans="1:9" s="26" customFormat="1" ht="33.75" customHeight="1" hidden="1">
      <c r="A48" s="33" t="s">
        <v>324</v>
      </c>
      <c r="B48" s="31">
        <v>240</v>
      </c>
      <c r="C48" s="31">
        <v>600</v>
      </c>
      <c r="D48" s="28"/>
      <c r="E48" s="34"/>
      <c r="F48" s="34"/>
      <c r="G48" s="34"/>
      <c r="H48" s="34"/>
      <c r="I48" s="34"/>
    </row>
    <row r="49" spans="1:9" s="26" customFormat="1" ht="18" hidden="1">
      <c r="A49" s="33"/>
      <c r="B49" s="31"/>
      <c r="C49" s="31"/>
      <c r="D49" s="28"/>
      <c r="E49" s="34"/>
      <c r="F49" s="34"/>
      <c r="G49" s="34"/>
      <c r="H49" s="34"/>
      <c r="I49" s="34"/>
    </row>
    <row r="50" spans="1:9" s="26" customFormat="1" ht="72" hidden="1">
      <c r="A50" s="33" t="s">
        <v>67</v>
      </c>
      <c r="B50" s="31">
        <v>241</v>
      </c>
      <c r="C50" s="31">
        <v>400</v>
      </c>
      <c r="D50" s="28"/>
      <c r="E50" s="34">
        <f>SUM(E51:E52)</f>
        <v>0</v>
      </c>
      <c r="F50" s="34"/>
      <c r="G50" s="34">
        <f>SUM(G51:G52)</f>
        <v>0</v>
      </c>
      <c r="H50" s="34">
        <f>SUM(H51:H52)</f>
        <v>0</v>
      </c>
      <c r="I50" s="34">
        <f>SUM(I51:I52)</f>
        <v>0</v>
      </c>
    </row>
    <row r="51" spans="1:9" s="26" customFormat="1" ht="112.5" customHeight="1" hidden="1">
      <c r="A51" s="35" t="s">
        <v>325</v>
      </c>
      <c r="B51" s="31">
        <v>242</v>
      </c>
      <c r="C51" s="31">
        <v>406</v>
      </c>
      <c r="D51" s="28"/>
      <c r="E51" s="34"/>
      <c r="F51" s="34"/>
      <c r="G51" s="34"/>
      <c r="H51" s="34"/>
      <c r="I51" s="34"/>
    </row>
    <row r="52" spans="1:9" s="26" customFormat="1" ht="108" hidden="1">
      <c r="A52" s="33" t="s">
        <v>326</v>
      </c>
      <c r="B52" s="31">
        <v>243</v>
      </c>
      <c r="C52" s="31">
        <v>407</v>
      </c>
      <c r="D52" s="28"/>
      <c r="E52" s="34"/>
      <c r="F52" s="34"/>
      <c r="G52" s="34"/>
      <c r="H52" s="34"/>
      <c r="I52" s="34"/>
    </row>
    <row r="53" spans="1:9" s="26" customFormat="1" ht="18" hidden="1">
      <c r="A53" s="33"/>
      <c r="B53" s="31"/>
      <c r="C53" s="31"/>
      <c r="D53" s="28"/>
      <c r="E53" s="34"/>
      <c r="F53" s="34"/>
      <c r="G53" s="34"/>
      <c r="H53" s="34"/>
      <c r="I53" s="34"/>
    </row>
    <row r="54" spans="1:9" s="26" customFormat="1" ht="36">
      <c r="A54" s="33" t="s">
        <v>327</v>
      </c>
      <c r="B54" s="31">
        <v>260</v>
      </c>
      <c r="C54" s="31">
        <v>200</v>
      </c>
      <c r="D54" s="28"/>
      <c r="E54" s="34">
        <f>E57</f>
        <v>637599.99915</v>
      </c>
      <c r="F54" s="34"/>
      <c r="G54" s="34"/>
      <c r="H54" s="34"/>
      <c r="I54" s="34"/>
    </row>
    <row r="55" spans="1:9" s="26" customFormat="1" ht="36" hidden="1">
      <c r="A55" s="33" t="s">
        <v>328</v>
      </c>
      <c r="B55" s="31">
        <v>261</v>
      </c>
      <c r="C55" s="31">
        <v>241</v>
      </c>
      <c r="D55" s="28"/>
      <c r="E55" s="34"/>
      <c r="F55" s="34"/>
      <c r="G55" s="34"/>
      <c r="H55" s="34"/>
      <c r="I55" s="34"/>
    </row>
    <row r="56" spans="1:9" s="26" customFormat="1" ht="63.75" customHeight="1" hidden="1">
      <c r="A56" s="33" t="s">
        <v>329</v>
      </c>
      <c r="B56" s="31">
        <v>262</v>
      </c>
      <c r="C56" s="31">
        <v>243</v>
      </c>
      <c r="D56" s="28"/>
      <c r="E56" s="34"/>
      <c r="F56" s="34"/>
      <c r="G56" s="34"/>
      <c r="H56" s="34"/>
      <c r="I56" s="34"/>
    </row>
    <row r="57" spans="1:9" s="26" customFormat="1" ht="78.75" customHeight="1">
      <c r="A57" s="33" t="s">
        <v>68</v>
      </c>
      <c r="B57" s="31">
        <v>263</v>
      </c>
      <c r="C57" s="31">
        <v>244</v>
      </c>
      <c r="D57" s="28"/>
      <c r="E57" s="34">
        <f>SUM(E58:E66)</f>
        <v>637599.99915</v>
      </c>
      <c r="F57" s="34"/>
      <c r="G57" s="34">
        <f>SUM(G58:G66)</f>
        <v>0</v>
      </c>
      <c r="H57" s="34">
        <f>SUM(H58:H66)</f>
        <v>0</v>
      </c>
      <c r="I57" s="34">
        <f>SUM(I58:I66)</f>
        <v>0</v>
      </c>
    </row>
    <row r="58" spans="1:9" s="26" customFormat="1" ht="18" hidden="1">
      <c r="A58" s="35" t="s">
        <v>330</v>
      </c>
      <c r="B58" s="31">
        <v>264</v>
      </c>
      <c r="C58" s="31">
        <v>244</v>
      </c>
      <c r="D58" s="28"/>
      <c r="E58" s="34"/>
      <c r="F58" s="34"/>
      <c r="G58" s="34"/>
      <c r="H58" s="34"/>
      <c r="I58" s="34"/>
    </row>
    <row r="59" spans="1:9" s="26" customFormat="1" ht="18" hidden="1">
      <c r="A59" s="33" t="s">
        <v>331</v>
      </c>
      <c r="B59" s="31">
        <v>265</v>
      </c>
      <c r="C59" s="31">
        <v>244</v>
      </c>
      <c r="D59" s="28"/>
      <c r="E59" s="34"/>
      <c r="F59" s="34"/>
      <c r="G59" s="34"/>
      <c r="H59" s="34"/>
      <c r="I59" s="34"/>
    </row>
    <row r="60" spans="1:9" s="26" customFormat="1" ht="18">
      <c r="A60" s="33" t="s">
        <v>332</v>
      </c>
      <c r="B60" s="31">
        <v>266</v>
      </c>
      <c r="C60" s="31">
        <v>244</v>
      </c>
      <c r="D60" s="28"/>
      <c r="E60" s="34">
        <f>'244(223)Б'!E21</f>
        <v>32395.469149999994</v>
      </c>
      <c r="F60" s="34"/>
      <c r="G60" s="34"/>
      <c r="H60" s="34"/>
      <c r="I60" s="34"/>
    </row>
    <row r="61" spans="1:9" s="26" customFormat="1" ht="36" hidden="1">
      <c r="A61" s="33" t="s">
        <v>333</v>
      </c>
      <c r="B61" s="31">
        <v>267</v>
      </c>
      <c r="C61" s="31">
        <v>244</v>
      </c>
      <c r="D61" s="28"/>
      <c r="E61" s="34"/>
      <c r="F61" s="34"/>
      <c r="G61" s="34"/>
      <c r="H61" s="34"/>
      <c r="I61" s="34"/>
    </row>
    <row r="62" spans="1:9" s="26" customFormat="1" ht="36">
      <c r="A62" s="33" t="s">
        <v>334</v>
      </c>
      <c r="B62" s="31">
        <v>268</v>
      </c>
      <c r="C62" s="31">
        <v>244</v>
      </c>
      <c r="D62" s="28"/>
      <c r="E62" s="34">
        <f>'225Б'!F44</f>
        <v>4254.87</v>
      </c>
      <c r="F62" s="34"/>
      <c r="G62" s="34"/>
      <c r="H62" s="34"/>
      <c r="I62" s="34"/>
    </row>
    <row r="63" spans="1:9" s="26" customFormat="1" ht="18">
      <c r="A63" s="33" t="s">
        <v>335</v>
      </c>
      <c r="B63" s="31">
        <v>269</v>
      </c>
      <c r="C63" s="31">
        <v>244</v>
      </c>
      <c r="D63" s="28"/>
      <c r="E63" s="34">
        <f>'226 Б'!F45</f>
        <v>394443.66</v>
      </c>
      <c r="F63" s="34"/>
      <c r="G63" s="34"/>
      <c r="H63" s="34"/>
      <c r="I63" s="34"/>
    </row>
    <row r="64" spans="1:9" s="26" customFormat="1" ht="18" hidden="1">
      <c r="A64" s="33" t="s">
        <v>472</v>
      </c>
      <c r="B64" s="31">
        <v>271</v>
      </c>
      <c r="C64" s="31">
        <v>244</v>
      </c>
      <c r="D64" s="28"/>
      <c r="E64" s="34"/>
      <c r="F64" s="34"/>
      <c r="G64" s="34"/>
      <c r="H64" s="34"/>
      <c r="I64" s="34"/>
    </row>
    <row r="65" spans="1:9" s="26" customFormat="1" ht="36">
      <c r="A65" s="33" t="s">
        <v>336</v>
      </c>
      <c r="B65" s="31">
        <v>270</v>
      </c>
      <c r="C65" s="31">
        <v>244</v>
      </c>
      <c r="D65" s="28"/>
      <c r="E65" s="34">
        <f>'310Б'!E19</f>
        <v>23000</v>
      </c>
      <c r="F65" s="34"/>
      <c r="G65" s="34"/>
      <c r="H65" s="34"/>
      <c r="I65" s="34"/>
    </row>
    <row r="66" spans="1:9" s="26" customFormat="1" ht="36">
      <c r="A66" s="33" t="s">
        <v>338</v>
      </c>
      <c r="B66" s="31">
        <v>272</v>
      </c>
      <c r="C66" s="31">
        <v>244</v>
      </c>
      <c r="D66" s="28"/>
      <c r="E66" s="34">
        <f>'340 Б'!D31</f>
        <v>183506</v>
      </c>
      <c r="F66" s="34"/>
      <c r="G66" s="34"/>
      <c r="H66" s="34"/>
      <c r="I66" s="34"/>
    </row>
    <row r="67" spans="1:9" s="26" customFormat="1" ht="18" hidden="1">
      <c r="A67" s="33"/>
      <c r="B67" s="31"/>
      <c r="C67" s="31"/>
      <c r="D67" s="28"/>
      <c r="E67" s="34"/>
      <c r="F67" s="34"/>
      <c r="G67" s="34"/>
      <c r="H67" s="34"/>
      <c r="I67" s="34"/>
    </row>
    <row r="68" spans="1:9" s="25" customFormat="1" ht="34.5">
      <c r="A68" s="10" t="s">
        <v>69</v>
      </c>
      <c r="B68" s="454">
        <v>300</v>
      </c>
      <c r="C68" s="454" t="s">
        <v>63</v>
      </c>
      <c r="D68" s="28"/>
      <c r="E68" s="28">
        <f>SUM(E69:E71)</f>
        <v>2404600</v>
      </c>
      <c r="F68" s="28"/>
      <c r="G68" s="28">
        <f>SUM(G69:G71)</f>
        <v>0</v>
      </c>
      <c r="H68" s="28">
        <f>SUM(H69:H71)</f>
        <v>0</v>
      </c>
      <c r="I68" s="28">
        <f>SUM(I69:I71)</f>
        <v>0</v>
      </c>
    </row>
    <row r="69" spans="1:9" ht="36">
      <c r="A69" s="2" t="s">
        <v>339</v>
      </c>
      <c r="B69" s="455">
        <v>310</v>
      </c>
      <c r="C69" s="455">
        <v>510</v>
      </c>
      <c r="D69" s="28"/>
      <c r="E69" s="29">
        <v>2404600</v>
      </c>
      <c r="F69" s="29"/>
      <c r="G69" s="29"/>
      <c r="H69" s="29"/>
      <c r="I69" s="29"/>
    </row>
    <row r="70" spans="1:9" ht="18" hidden="1">
      <c r="A70" s="2" t="s">
        <v>340</v>
      </c>
      <c r="B70" s="455">
        <v>311</v>
      </c>
      <c r="C70" s="455"/>
      <c r="D70" s="28"/>
      <c r="E70" s="29"/>
      <c r="F70" s="29"/>
      <c r="G70" s="29"/>
      <c r="H70" s="29"/>
      <c r="I70" s="29"/>
    </row>
    <row r="71" spans="1:9" ht="18" hidden="1">
      <c r="A71" s="2"/>
      <c r="B71" s="455"/>
      <c r="C71" s="455"/>
      <c r="D71" s="28"/>
      <c r="E71" s="29"/>
      <c r="F71" s="29"/>
      <c r="G71" s="29"/>
      <c r="H71" s="29"/>
      <c r="I71" s="29"/>
    </row>
    <row r="72" spans="1:9" s="25" customFormat="1" ht="36" customHeight="1">
      <c r="A72" s="10" t="s">
        <v>70</v>
      </c>
      <c r="B72" s="454">
        <v>400</v>
      </c>
      <c r="C72" s="454"/>
      <c r="D72" s="28"/>
      <c r="E72" s="28">
        <f>SUM(E73:E75)</f>
        <v>2404600</v>
      </c>
      <c r="F72" s="28"/>
      <c r="G72" s="28">
        <f>SUM(G73:G75)</f>
        <v>0</v>
      </c>
      <c r="H72" s="28">
        <f>SUM(H73:H75)</f>
        <v>0</v>
      </c>
      <c r="I72" s="28">
        <f>SUM(I73:I75)</f>
        <v>0</v>
      </c>
    </row>
    <row r="73" spans="1:9" ht="37.5" customHeight="1">
      <c r="A73" s="2" t="s">
        <v>341</v>
      </c>
      <c r="B73" s="455">
        <v>410</v>
      </c>
      <c r="C73" s="455">
        <v>610</v>
      </c>
      <c r="D73" s="28"/>
      <c r="E73" s="29">
        <v>2404600</v>
      </c>
      <c r="F73" s="29"/>
      <c r="G73" s="29"/>
      <c r="H73" s="29"/>
      <c r="I73" s="29"/>
    </row>
    <row r="74" spans="1:9" ht="18" hidden="1">
      <c r="A74" s="2" t="s">
        <v>342</v>
      </c>
      <c r="B74" s="455">
        <v>411</v>
      </c>
      <c r="C74" s="455"/>
      <c r="D74" s="28"/>
      <c r="E74" s="29"/>
      <c r="F74" s="29"/>
      <c r="G74" s="29"/>
      <c r="H74" s="29"/>
      <c r="I74" s="29"/>
    </row>
    <row r="75" spans="1:9" ht="18" hidden="1">
      <c r="A75" s="2"/>
      <c r="B75" s="455"/>
      <c r="C75" s="455"/>
      <c r="D75" s="28"/>
      <c r="E75" s="29"/>
      <c r="F75" s="29"/>
      <c r="G75" s="29"/>
      <c r="H75" s="29"/>
      <c r="I75" s="29"/>
    </row>
    <row r="76" spans="1:9" ht="38.25" customHeight="1">
      <c r="A76" s="10" t="s">
        <v>71</v>
      </c>
      <c r="B76" s="454">
        <v>500</v>
      </c>
      <c r="C76" s="454" t="s">
        <v>63</v>
      </c>
      <c r="D76" s="28"/>
      <c r="E76" s="28">
        <f>E20+E21-E24+E68-E72</f>
        <v>0.0048500001430511475</v>
      </c>
      <c r="F76" s="28"/>
      <c r="G76" s="28">
        <f>G20+G21-G24+G68-G72</f>
        <v>0</v>
      </c>
      <c r="H76" s="28">
        <f>H20+H21-H24+H68-H72</f>
        <v>0</v>
      </c>
      <c r="I76" s="28">
        <f>I20+I21-I24+I68-I72</f>
        <v>0</v>
      </c>
    </row>
    <row r="77" spans="1:9" s="153" customFormat="1" ht="14.25">
      <c r="A77" s="584" t="s">
        <v>358</v>
      </c>
      <c r="B77" s="585"/>
      <c r="C77" s="585"/>
      <c r="D77" s="585"/>
      <c r="E77" s="585"/>
      <c r="F77" s="585"/>
      <c r="G77" s="585"/>
      <c r="H77" s="220"/>
      <c r="I77" s="220"/>
    </row>
    <row r="78" spans="1:9" ht="18">
      <c r="A78" s="459" t="s">
        <v>682</v>
      </c>
      <c r="B78" s="218"/>
      <c r="C78" s="218"/>
      <c r="D78" s="218"/>
      <c r="E78" s="21"/>
      <c r="F78" s="21"/>
      <c r="G78" s="21"/>
      <c r="H78" s="21"/>
      <c r="I78" s="21"/>
    </row>
    <row r="79" spans="1:9" ht="18">
      <c r="A79" s="218"/>
      <c r="B79" s="218"/>
      <c r="C79" s="218"/>
      <c r="D79" s="218"/>
      <c r="E79" s="21"/>
      <c r="F79" s="21"/>
      <c r="G79" s="21"/>
      <c r="H79" s="21"/>
      <c r="I79" s="21"/>
    </row>
    <row r="80" spans="1:7" s="3" customFormat="1" ht="18">
      <c r="A80" s="3" t="s">
        <v>245</v>
      </c>
      <c r="D80" s="3" t="s">
        <v>390</v>
      </c>
      <c r="G80" s="3" t="s">
        <v>591</v>
      </c>
    </row>
    <row r="81" spans="1:7" s="3" customFormat="1" ht="18">
      <c r="A81" s="3" t="s">
        <v>128</v>
      </c>
      <c r="D81" s="3" t="s">
        <v>29</v>
      </c>
      <c r="G81" s="3" t="s">
        <v>687</v>
      </c>
    </row>
    <row r="82" s="3" customFormat="1" ht="18">
      <c r="D82" s="61"/>
    </row>
    <row r="83" spans="1:7" s="3" customFormat="1" ht="18">
      <c r="A83" s="3" t="s">
        <v>589</v>
      </c>
      <c r="D83" s="61" t="s">
        <v>390</v>
      </c>
      <c r="G83" s="3" t="s">
        <v>753</v>
      </c>
    </row>
    <row r="84" spans="1:7" s="3" customFormat="1" ht="18">
      <c r="A84" s="3" t="s">
        <v>128</v>
      </c>
      <c r="D84" s="3" t="s">
        <v>29</v>
      </c>
      <c r="G84" s="3" t="s">
        <v>127</v>
      </c>
    </row>
    <row r="85" s="3" customFormat="1" ht="18">
      <c r="D85" s="61"/>
    </row>
    <row r="86" s="3" customFormat="1" ht="18">
      <c r="A86" s="3" t="s">
        <v>392</v>
      </c>
    </row>
    <row r="87" spans="1:9" ht="18">
      <c r="A87" s="218"/>
      <c r="B87" s="218"/>
      <c r="C87" s="218"/>
      <c r="D87" s="218"/>
      <c r="E87" s="21"/>
      <c r="F87" s="21"/>
      <c r="G87" s="21"/>
      <c r="H87" s="21"/>
      <c r="I87" s="21"/>
    </row>
    <row r="88" spans="1:9" ht="18">
      <c r="A88" s="218"/>
      <c r="B88" s="218"/>
      <c r="C88" s="218"/>
      <c r="D88" s="218"/>
      <c r="E88" s="21"/>
      <c r="F88" s="21"/>
      <c r="G88" s="21"/>
      <c r="H88" s="21"/>
      <c r="I88" s="21"/>
    </row>
    <row r="89" spans="1:9" ht="18">
      <c r="A89" s="218"/>
      <c r="B89" s="218"/>
      <c r="C89" s="218"/>
      <c r="D89" s="218"/>
      <c r="E89" s="21"/>
      <c r="F89" s="21"/>
      <c r="G89" s="21"/>
      <c r="H89" s="21"/>
      <c r="I89" s="21"/>
    </row>
    <row r="90" spans="1:9" ht="18">
      <c r="A90" s="218"/>
      <c r="B90" s="218"/>
      <c r="C90" s="218"/>
      <c r="D90" s="218"/>
      <c r="E90" s="21"/>
      <c r="F90" s="21"/>
      <c r="G90" s="21"/>
      <c r="H90" s="21"/>
      <c r="I90" s="21"/>
    </row>
    <row r="91" spans="1:9" ht="18">
      <c r="A91" s="218"/>
      <c r="B91" s="218"/>
      <c r="C91" s="218"/>
      <c r="D91" s="218"/>
      <c r="E91" s="21"/>
      <c r="F91" s="21"/>
      <c r="G91" s="21"/>
      <c r="H91" s="21"/>
      <c r="I91" s="21"/>
    </row>
    <row r="92" spans="1:9" ht="18">
      <c r="A92" s="218"/>
      <c r="B92" s="218"/>
      <c r="C92" s="218"/>
      <c r="D92" s="218"/>
      <c r="E92" s="21"/>
      <c r="F92" s="21"/>
      <c r="G92" s="21"/>
      <c r="H92" s="21"/>
      <c r="I92" s="21"/>
    </row>
    <row r="93" ht="14.25">
      <c r="A93" s="20"/>
    </row>
    <row r="95" s="3" customFormat="1" ht="18"/>
    <row r="96" s="3" customFormat="1" ht="18"/>
    <row r="97" s="3" customFormat="1" ht="18"/>
    <row r="98" s="3" customFormat="1" ht="18"/>
    <row r="99" s="3" customFormat="1" ht="18"/>
    <row r="100" s="3" customFormat="1" ht="18"/>
    <row r="101" s="3" customFormat="1" ht="18"/>
    <row r="102" s="3" customFormat="1" ht="18"/>
  </sheetData>
  <sheetProtection/>
  <mergeCells count="15">
    <mergeCell ref="A77:G77"/>
    <mergeCell ref="A4:I4"/>
    <mergeCell ref="A7:I7"/>
    <mergeCell ref="D8:G8"/>
    <mergeCell ref="A9:A18"/>
    <mergeCell ref="B9:B18"/>
    <mergeCell ref="C9:C18"/>
    <mergeCell ref="D9:I9"/>
    <mergeCell ref="D10:D18"/>
    <mergeCell ref="E10:I10"/>
    <mergeCell ref="E11:E18"/>
    <mergeCell ref="F11:F18"/>
    <mergeCell ref="G11:G18"/>
    <mergeCell ref="H11:H18"/>
    <mergeCell ref="I11:I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1"/>
  <sheetViews>
    <sheetView view="pageBreakPreview" zoomScale="60" zoomScalePageLayoutView="0" workbookViewId="0" topLeftCell="A13">
      <selection activeCell="D26" sqref="D26"/>
    </sheetView>
  </sheetViews>
  <sheetFormatPr defaultColWidth="9.140625" defaultRowHeight="15"/>
  <cols>
    <col min="1" max="1" width="7.00390625" style="6" customWidth="1"/>
    <col min="2" max="2" width="68.00390625" style="6" customWidth="1"/>
    <col min="3" max="3" width="20.28125" style="6" customWidth="1"/>
    <col min="4" max="4" width="25.140625" style="6" customWidth="1"/>
    <col min="5" max="5" width="30.7109375" style="6" customWidth="1"/>
    <col min="6" max="16384" width="9.140625" style="6" customWidth="1"/>
  </cols>
  <sheetData>
    <row r="1" ht="18">
      <c r="E1" s="231" t="s">
        <v>264</v>
      </c>
    </row>
    <row r="3" spans="1:5" ht="15" customHeight="1">
      <c r="A3" s="644" t="s">
        <v>234</v>
      </c>
      <c r="B3" s="644"/>
      <c r="C3" s="644"/>
      <c r="D3" s="644"/>
      <c r="E3" s="644"/>
    </row>
    <row r="4" spans="1:5" ht="24" customHeight="1">
      <c r="A4" s="645" t="s">
        <v>716</v>
      </c>
      <c r="B4" s="645"/>
      <c r="C4" s="645"/>
      <c r="D4" s="645"/>
      <c r="E4" s="645"/>
    </row>
    <row r="5" spans="1:5" ht="22.5" customHeight="1">
      <c r="A5" s="674" t="s">
        <v>344</v>
      </c>
      <c r="B5" s="674"/>
      <c r="C5" s="674"/>
      <c r="D5" s="674"/>
      <c r="E5" s="674"/>
    </row>
    <row r="6" spans="1:5" s="70" customFormat="1" ht="40.5" customHeight="1">
      <c r="A6" s="675" t="s">
        <v>726</v>
      </c>
      <c r="B6" s="675"/>
      <c r="C6" s="675"/>
      <c r="D6" s="675"/>
      <c r="E6" s="675"/>
    </row>
    <row r="7" spans="1:5" s="70" customFormat="1" ht="24.75" customHeight="1">
      <c r="A7" s="674" t="s">
        <v>252</v>
      </c>
      <c r="B7" s="674"/>
      <c r="C7" s="674"/>
      <c r="D7" s="674"/>
      <c r="E7" s="674"/>
    </row>
    <row r="8" spans="1:5" ht="14.25">
      <c r="A8" s="25"/>
      <c r="B8" s="25"/>
      <c r="C8" s="25"/>
      <c r="D8" s="25"/>
      <c r="E8" s="25"/>
    </row>
    <row r="9" spans="1:5" ht="17.25">
      <c r="A9" s="82"/>
      <c r="B9" s="25"/>
      <c r="C9" s="25"/>
      <c r="D9" s="25"/>
      <c r="E9" s="25"/>
    </row>
    <row r="10" spans="1:5" s="104" customFormat="1" ht="34.5">
      <c r="A10" s="92" t="s">
        <v>157</v>
      </c>
      <c r="B10" s="92" t="s">
        <v>156</v>
      </c>
      <c r="C10" s="92" t="s">
        <v>195</v>
      </c>
      <c r="D10" s="92" t="s">
        <v>235</v>
      </c>
      <c r="E10" s="92" t="s">
        <v>236</v>
      </c>
    </row>
    <row r="11" spans="1:5" s="105" customFormat="1" ht="17.25">
      <c r="A11" s="100">
        <v>1</v>
      </c>
      <c r="B11" s="100">
        <v>2</v>
      </c>
      <c r="C11" s="100">
        <v>3</v>
      </c>
      <c r="D11" s="100">
        <v>4</v>
      </c>
      <c r="E11" s="100">
        <v>5</v>
      </c>
    </row>
    <row r="12" spans="1:5" s="25" customFormat="1" ht="17.25">
      <c r="A12" s="95"/>
      <c r="B12" s="440" t="s">
        <v>265</v>
      </c>
      <c r="C12" s="75"/>
      <c r="D12" s="115"/>
      <c r="E12" s="115">
        <f>SUM(E13:E19)</f>
        <v>308000</v>
      </c>
    </row>
    <row r="13" spans="1:5" ht="18">
      <c r="A13" s="86"/>
      <c r="B13" s="83" t="s">
        <v>613</v>
      </c>
      <c r="C13" s="78">
        <v>1</v>
      </c>
      <c r="D13" s="114">
        <v>50000</v>
      </c>
      <c r="E13" s="114">
        <f aca="true" t="shared" si="0" ref="E13:E18">C13*D13</f>
        <v>50000</v>
      </c>
    </row>
    <row r="14" spans="1:5" ht="18">
      <c r="A14" s="86"/>
      <c r="B14" s="83" t="s">
        <v>614</v>
      </c>
      <c r="C14" s="78">
        <v>2</v>
      </c>
      <c r="D14" s="114">
        <v>11500</v>
      </c>
      <c r="E14" s="114">
        <f t="shared" si="0"/>
        <v>23000</v>
      </c>
    </row>
    <row r="15" spans="1:5" ht="18">
      <c r="A15" s="86"/>
      <c r="B15" s="83" t="s">
        <v>615</v>
      </c>
      <c r="C15" s="78">
        <v>1</v>
      </c>
      <c r="D15" s="114">
        <v>40000</v>
      </c>
      <c r="E15" s="114">
        <f t="shared" si="0"/>
        <v>40000</v>
      </c>
    </row>
    <row r="16" spans="1:5" s="25" customFormat="1" ht="18">
      <c r="A16" s="95"/>
      <c r="B16" s="83" t="s">
        <v>616</v>
      </c>
      <c r="C16" s="78">
        <v>1</v>
      </c>
      <c r="D16" s="114">
        <v>15000</v>
      </c>
      <c r="E16" s="114">
        <f t="shared" si="0"/>
        <v>15000</v>
      </c>
    </row>
    <row r="17" spans="1:5" ht="18">
      <c r="A17" s="86"/>
      <c r="B17" s="83" t="s">
        <v>618</v>
      </c>
      <c r="C17" s="78">
        <v>3</v>
      </c>
      <c r="D17" s="114">
        <v>50000</v>
      </c>
      <c r="E17" s="114">
        <f t="shared" si="0"/>
        <v>150000</v>
      </c>
    </row>
    <row r="18" spans="1:5" ht="18">
      <c r="A18" s="86"/>
      <c r="B18" s="83" t="s">
        <v>617</v>
      </c>
      <c r="C18" s="78">
        <v>1</v>
      </c>
      <c r="D18" s="114">
        <v>30000</v>
      </c>
      <c r="E18" s="114">
        <f t="shared" si="0"/>
        <v>30000</v>
      </c>
    </row>
    <row r="19" spans="1:5" s="25" customFormat="1" ht="18">
      <c r="A19" s="95"/>
      <c r="B19" s="83"/>
      <c r="C19" s="78"/>
      <c r="D19" s="114"/>
      <c r="E19" s="260"/>
    </row>
    <row r="20" spans="1:5" ht="18">
      <c r="A20" s="86"/>
      <c r="B20" s="83" t="s">
        <v>267</v>
      </c>
      <c r="C20" s="78"/>
      <c r="D20" s="114"/>
      <c r="E20" s="247">
        <f>SUM(E21:E23)</f>
        <v>258000</v>
      </c>
    </row>
    <row r="21" spans="1:5" ht="18">
      <c r="A21" s="86"/>
      <c r="B21" s="386" t="s">
        <v>619</v>
      </c>
      <c r="C21" s="78">
        <v>2</v>
      </c>
      <c r="D21" s="114">
        <v>100000</v>
      </c>
      <c r="E21" s="260">
        <f>D21*C21</f>
        <v>200000</v>
      </c>
    </row>
    <row r="22" spans="1:5" ht="18">
      <c r="A22" s="86"/>
      <c r="B22" s="386" t="s">
        <v>540</v>
      </c>
      <c r="C22" s="78">
        <v>3</v>
      </c>
      <c r="D22" s="114">
        <v>6000</v>
      </c>
      <c r="E22" s="260">
        <f>D22*C22</f>
        <v>18000</v>
      </c>
    </row>
    <row r="23" spans="1:5" ht="18">
      <c r="A23" s="86"/>
      <c r="B23" s="386" t="s">
        <v>620</v>
      </c>
      <c r="C23" s="78">
        <v>1</v>
      </c>
      <c r="D23" s="114">
        <v>40000</v>
      </c>
      <c r="E23" s="260">
        <f>C23*D23</f>
        <v>40000</v>
      </c>
    </row>
    <row r="24" spans="1:5" s="25" customFormat="1" ht="18">
      <c r="A24" s="95"/>
      <c r="B24" s="80" t="s">
        <v>145</v>
      </c>
      <c r="C24" s="78"/>
      <c r="D24" s="113" t="s">
        <v>144</v>
      </c>
      <c r="E24" s="247">
        <f>E12+E20</f>
        <v>566000</v>
      </c>
    </row>
    <row r="27" spans="2:6" s="3" customFormat="1" ht="18">
      <c r="B27" s="3" t="s">
        <v>589</v>
      </c>
      <c r="E27" s="3" t="s">
        <v>753</v>
      </c>
      <c r="F27" s="6"/>
    </row>
    <row r="28" spans="2:6" s="3" customFormat="1" ht="18">
      <c r="B28" s="3" t="s">
        <v>606</v>
      </c>
      <c r="E28" s="3" t="s">
        <v>402</v>
      </c>
      <c r="F28" s="6"/>
    </row>
    <row r="29" s="3" customFormat="1" ht="18">
      <c r="F29" s="6"/>
    </row>
    <row r="30" spans="2:6" s="3" customFormat="1" ht="18">
      <c r="B30" s="3" t="s">
        <v>408</v>
      </c>
      <c r="E30" s="3" t="s">
        <v>591</v>
      </c>
      <c r="F30" s="6"/>
    </row>
    <row r="31" spans="2:6" s="3" customFormat="1" ht="18">
      <c r="B31" s="3" t="s">
        <v>606</v>
      </c>
      <c r="E31" s="3" t="s">
        <v>402</v>
      </c>
      <c r="F31" s="6"/>
    </row>
    <row r="32" s="3" customFormat="1" ht="18"/>
    <row r="33" s="3" customFormat="1" ht="18"/>
    <row r="34" s="3" customFormat="1" ht="18"/>
  </sheetData>
  <sheetProtection/>
  <mergeCells count="5">
    <mergeCell ref="A3:E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0"/>
  <sheetViews>
    <sheetView view="pageBreakPreview" zoomScale="60" zoomScalePageLayoutView="0" workbookViewId="0" topLeftCell="A1">
      <selection activeCell="D25" sqref="D25"/>
    </sheetView>
  </sheetViews>
  <sheetFormatPr defaultColWidth="9.140625" defaultRowHeight="15"/>
  <cols>
    <col min="1" max="1" width="7.28125" style="1" customWidth="1"/>
    <col min="2" max="2" width="91.28125" style="1" customWidth="1"/>
    <col min="3" max="3" width="26.7109375" style="1" customWidth="1"/>
    <col min="4" max="4" width="42.7109375" style="1" customWidth="1"/>
    <col min="5" max="5" width="14.421875" style="1" customWidth="1"/>
    <col min="6" max="16384" width="8.8515625" style="1" customWidth="1"/>
  </cols>
  <sheetData>
    <row r="1" spans="1:4" ht="18">
      <c r="A1" s="3"/>
      <c r="B1" s="3"/>
      <c r="C1" s="3"/>
      <c r="D1" s="231" t="s">
        <v>268</v>
      </c>
    </row>
    <row r="2" spans="1:4" ht="12.75" customHeight="1">
      <c r="A2" s="3"/>
      <c r="B2" s="3"/>
      <c r="C2" s="3"/>
      <c r="D2" s="3"/>
    </row>
    <row r="3" spans="1:4" ht="25.5" customHeight="1">
      <c r="A3" s="656" t="s">
        <v>237</v>
      </c>
      <c r="B3" s="657"/>
      <c r="C3" s="657"/>
      <c r="D3" s="657"/>
    </row>
    <row r="4" spans="1:5" ht="20.25" customHeight="1">
      <c r="A4" s="645" t="s">
        <v>716</v>
      </c>
      <c r="B4" s="645"/>
      <c r="C4" s="645"/>
      <c r="D4" s="645"/>
      <c r="E4" s="645"/>
    </row>
    <row r="5" spans="1:4" ht="17.25" customHeight="1">
      <c r="A5" s="646" t="s">
        <v>344</v>
      </c>
      <c r="B5" s="646"/>
      <c r="C5" s="646"/>
      <c r="D5" s="646"/>
    </row>
    <row r="6" spans="1:4" s="70" customFormat="1" ht="38.25" customHeight="1">
      <c r="A6" s="661" t="s">
        <v>726</v>
      </c>
      <c r="B6" s="661"/>
      <c r="C6" s="661"/>
      <c r="D6" s="661"/>
    </row>
    <row r="7" spans="1:4" s="70" customFormat="1" ht="18.75" customHeight="1">
      <c r="A7" s="646" t="s">
        <v>252</v>
      </c>
      <c r="B7" s="646"/>
      <c r="C7" s="646"/>
      <c r="D7" s="646"/>
    </row>
    <row r="8" spans="1:4" ht="18">
      <c r="A8" s="84"/>
      <c r="B8" s="3"/>
      <c r="C8" s="3"/>
      <c r="D8" s="3"/>
    </row>
    <row r="9" spans="1:4" s="232" customFormat="1" ht="15.75" customHeight="1">
      <c r="A9" s="654" t="s">
        <v>157</v>
      </c>
      <c r="B9" s="654" t="s">
        <v>278</v>
      </c>
      <c r="C9" s="654" t="s">
        <v>238</v>
      </c>
      <c r="D9" s="654" t="s">
        <v>36</v>
      </c>
    </row>
    <row r="10" spans="1:4" s="232" customFormat="1" ht="15.75" customHeight="1">
      <c r="A10" s="662"/>
      <c r="B10" s="662"/>
      <c r="C10" s="662"/>
      <c r="D10" s="662"/>
    </row>
    <row r="11" spans="1:4" s="232" customFormat="1" ht="15.75" customHeight="1">
      <c r="A11" s="655"/>
      <c r="B11" s="655"/>
      <c r="C11" s="655"/>
      <c r="D11" s="655"/>
    </row>
    <row r="12" spans="1:4" s="232" customFormat="1" ht="15">
      <c r="A12" s="107">
        <v>1</v>
      </c>
      <c r="B12" s="107">
        <v>2</v>
      </c>
      <c r="C12" s="107">
        <v>3</v>
      </c>
      <c r="D12" s="269">
        <v>3</v>
      </c>
    </row>
    <row r="13" spans="1:6" ht="18">
      <c r="A13" s="78">
        <v>1</v>
      </c>
      <c r="B13" s="80" t="s">
        <v>269</v>
      </c>
      <c r="C13" s="78" t="s">
        <v>437</v>
      </c>
      <c r="D13" s="270">
        <f>1544522-144.4-214943.6</f>
        <v>1329434</v>
      </c>
      <c r="F13" s="1" t="s">
        <v>448</v>
      </c>
    </row>
    <row r="14" spans="1:4" ht="18">
      <c r="A14" s="78">
        <v>2</v>
      </c>
      <c r="B14" s="80" t="s">
        <v>270</v>
      </c>
      <c r="C14" s="78"/>
      <c r="D14" s="270">
        <v>8750</v>
      </c>
    </row>
    <row r="15" spans="1:4" s="108" customFormat="1" ht="18">
      <c r="A15" s="78">
        <v>3</v>
      </c>
      <c r="B15" s="80" t="s">
        <v>271</v>
      </c>
      <c r="C15" s="78" t="s">
        <v>437</v>
      </c>
      <c r="D15" s="270">
        <v>328106</v>
      </c>
    </row>
    <row r="16" spans="1:4" s="108" customFormat="1" ht="18">
      <c r="A16" s="78">
        <v>4</v>
      </c>
      <c r="B16" s="80" t="s">
        <v>272</v>
      </c>
      <c r="C16" s="75"/>
      <c r="D16" s="270">
        <f>83606.9-4.75</f>
        <v>83602.15</v>
      </c>
    </row>
    <row r="17" spans="1:4" s="108" customFormat="1" ht="18">
      <c r="A17" s="78">
        <v>5</v>
      </c>
      <c r="B17" s="80" t="s">
        <v>273</v>
      </c>
      <c r="C17" s="75"/>
      <c r="D17" s="263"/>
    </row>
    <row r="18" spans="1:4" s="108" customFormat="1" ht="18">
      <c r="A18" s="78">
        <v>6</v>
      </c>
      <c r="B18" s="80" t="s">
        <v>274</v>
      </c>
      <c r="C18" s="78" t="s">
        <v>452</v>
      </c>
      <c r="D18" s="270">
        <v>34977</v>
      </c>
    </row>
    <row r="19" spans="1:6" ht="18">
      <c r="A19" s="78">
        <v>7</v>
      </c>
      <c r="B19" s="80" t="s">
        <v>275</v>
      </c>
      <c r="C19" s="78" t="s">
        <v>440</v>
      </c>
      <c r="D19" s="270">
        <v>28620</v>
      </c>
      <c r="F19" s="1" t="s">
        <v>436</v>
      </c>
    </row>
    <row r="20" spans="1:4" s="108" customFormat="1" ht="18">
      <c r="A20" s="78">
        <v>8</v>
      </c>
      <c r="B20" s="80" t="s">
        <v>277</v>
      </c>
      <c r="C20" s="75"/>
      <c r="D20" s="270">
        <f>SUM(D22:D30)</f>
        <v>57527</v>
      </c>
    </row>
    <row r="21" spans="1:4" ht="18">
      <c r="A21" s="78"/>
      <c r="B21" s="80" t="s">
        <v>276</v>
      </c>
      <c r="C21" s="78"/>
      <c r="D21" s="270"/>
    </row>
    <row r="22" spans="1:4" ht="18">
      <c r="A22" s="202"/>
      <c r="B22" s="80" t="s">
        <v>239</v>
      </c>
      <c r="C22" s="78"/>
      <c r="D22" s="270"/>
    </row>
    <row r="23" spans="1:4" ht="22.5" customHeight="1">
      <c r="A23" s="202"/>
      <c r="B23" s="80" t="s">
        <v>240</v>
      </c>
      <c r="C23" s="78" t="s">
        <v>435</v>
      </c>
      <c r="D23" s="270"/>
    </row>
    <row r="24" spans="1:4" ht="18">
      <c r="A24" s="202"/>
      <c r="B24" s="80" t="s">
        <v>241</v>
      </c>
      <c r="C24" s="78"/>
      <c r="D24" s="270"/>
    </row>
    <row r="25" spans="1:6" ht="18">
      <c r="A25" s="202"/>
      <c r="B25" s="80" t="s">
        <v>242</v>
      </c>
      <c r="C25" s="78" t="s">
        <v>437</v>
      </c>
      <c r="D25" s="270">
        <v>17967</v>
      </c>
      <c r="F25" s="1" t="s">
        <v>449</v>
      </c>
    </row>
    <row r="26" spans="1:4" ht="18">
      <c r="A26" s="201"/>
      <c r="B26" s="80" t="s">
        <v>243</v>
      </c>
      <c r="C26" s="78" t="s">
        <v>437</v>
      </c>
      <c r="D26" s="270">
        <v>36731</v>
      </c>
    </row>
    <row r="27" spans="1:4" ht="18">
      <c r="A27" s="201"/>
      <c r="B27" s="80" t="s">
        <v>244</v>
      </c>
      <c r="C27" s="78" t="s">
        <v>437</v>
      </c>
      <c r="D27" s="270">
        <v>2829</v>
      </c>
    </row>
    <row r="28" spans="1:4" ht="18" hidden="1">
      <c r="A28" s="201"/>
      <c r="B28" s="80"/>
      <c r="C28" s="78"/>
      <c r="D28" s="270"/>
    </row>
    <row r="29" spans="1:4" ht="18" hidden="1">
      <c r="A29" s="201"/>
      <c r="B29" s="80"/>
      <c r="C29" s="78"/>
      <c r="D29" s="260"/>
    </row>
    <row r="30" spans="1:4" ht="18" hidden="1">
      <c r="A30" s="201"/>
      <c r="B30" s="79"/>
      <c r="C30" s="78"/>
      <c r="D30" s="260"/>
    </row>
    <row r="31" spans="1:4" s="108" customFormat="1" ht="17.25">
      <c r="A31" s="75"/>
      <c r="B31" s="77" t="s">
        <v>145</v>
      </c>
      <c r="C31" s="100" t="s">
        <v>144</v>
      </c>
      <c r="D31" s="247">
        <f>SUM(D13:D20)</f>
        <v>1871016.15</v>
      </c>
    </row>
    <row r="32" spans="1:4" ht="18">
      <c r="A32" s="128"/>
      <c r="B32" s="3"/>
      <c r="C32" s="3"/>
      <c r="D32" s="3"/>
    </row>
    <row r="33" spans="1:4" s="140" customFormat="1" ht="18.75" customHeight="1">
      <c r="A33" s="184"/>
      <c r="B33" s="186"/>
      <c r="C33" s="183"/>
      <c r="D33" s="9"/>
    </row>
    <row r="34" spans="1:4" s="140" customFormat="1" ht="18.75" customHeight="1">
      <c r="A34" s="188" t="s">
        <v>589</v>
      </c>
      <c r="B34" s="187"/>
      <c r="C34" s="199"/>
      <c r="D34" s="3" t="s">
        <v>753</v>
      </c>
    </row>
    <row r="35" spans="1:4" s="140" customFormat="1" ht="18.75" customHeight="1">
      <c r="A35" s="45" t="s">
        <v>606</v>
      </c>
      <c r="B35" s="183"/>
      <c r="C35" s="185"/>
      <c r="D35" s="3" t="s">
        <v>402</v>
      </c>
    </row>
    <row r="36" spans="1:4" s="140" customFormat="1" ht="18">
      <c r="A36" s="183"/>
      <c r="B36" s="183"/>
      <c r="C36" s="183"/>
      <c r="D36" s="3"/>
    </row>
    <row r="37" spans="1:4" s="140" customFormat="1" ht="18">
      <c r="A37" s="183" t="s">
        <v>408</v>
      </c>
      <c r="B37" s="183"/>
      <c r="C37" s="199"/>
      <c r="D37" s="3" t="s">
        <v>591</v>
      </c>
    </row>
    <row r="38" spans="1:4" ht="18.75" customHeight="1">
      <c r="A38" s="45" t="s">
        <v>606</v>
      </c>
      <c r="B38" s="183"/>
      <c r="C38" s="185"/>
      <c r="D38" s="3" t="s">
        <v>402</v>
      </c>
    </row>
    <row r="39" spans="1:4" ht="18">
      <c r="A39" s="183"/>
      <c r="B39" s="183"/>
      <c r="C39" s="183"/>
      <c r="D39" s="183"/>
    </row>
    <row r="40" spans="1:4" ht="18">
      <c r="A40" s="185"/>
      <c r="B40" s="183"/>
      <c r="C40" s="183"/>
      <c r="D40" s="183"/>
    </row>
  </sheetData>
  <sheetProtection/>
  <mergeCells count="9">
    <mergeCell ref="A3:D3"/>
    <mergeCell ref="A5:D5"/>
    <mergeCell ref="A6:D6"/>
    <mergeCell ref="A7:D7"/>
    <mergeCell ref="A9:A11"/>
    <mergeCell ref="B9:B11"/>
    <mergeCell ref="C9:C11"/>
    <mergeCell ref="D9:D11"/>
    <mergeCell ref="A4:E4"/>
  </mergeCells>
  <printOptions/>
  <pageMargins left="0.7086614173228347" right="0.2" top="0.36" bottom="0.24" header="0.31496062992125984" footer="0.18"/>
  <pageSetup fitToHeight="1" fitToWidth="1" horizontalDpi="600" verticalDpi="600" orientation="landscape" paperSize="9" scale="8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08"/>
  <sheetViews>
    <sheetView zoomScale="57" zoomScaleNormal="57" zoomScalePageLayoutView="0" workbookViewId="0" topLeftCell="A4">
      <selection activeCell="C68" sqref="C68"/>
    </sheetView>
  </sheetViews>
  <sheetFormatPr defaultColWidth="9.140625" defaultRowHeight="15"/>
  <cols>
    <col min="1" max="1" width="68.00390625" style="0" customWidth="1"/>
    <col min="2" max="2" width="16.8515625" style="0" customWidth="1"/>
    <col min="3" max="3" width="29.8515625" style="0" customWidth="1"/>
    <col min="4" max="4" width="47.28125" style="0" customWidth="1"/>
  </cols>
  <sheetData>
    <row r="1" spans="1:4" ht="18">
      <c r="A1" s="40"/>
      <c r="B1" s="40"/>
      <c r="C1" s="40"/>
      <c r="D1" s="11" t="s">
        <v>118</v>
      </c>
    </row>
    <row r="2" spans="1:4" ht="46.5" customHeight="1">
      <c r="A2" s="555" t="s">
        <v>130</v>
      </c>
      <c r="B2" s="555"/>
      <c r="C2" s="555"/>
      <c r="D2" s="555"/>
    </row>
    <row r="3" spans="1:4" s="6" customFormat="1" ht="29.25" customHeight="1">
      <c r="A3" s="527" t="s">
        <v>471</v>
      </c>
      <c r="B3" s="527"/>
      <c r="C3" s="527"/>
      <c r="D3" s="142"/>
    </row>
    <row r="4" spans="1:4" ht="35.25" customHeight="1">
      <c r="A4" s="161" t="s">
        <v>344</v>
      </c>
      <c r="B4" s="40"/>
      <c r="C4" s="40"/>
      <c r="D4" s="40"/>
    </row>
    <row r="5" spans="1:4" ht="90">
      <c r="A5" s="42" t="s">
        <v>20</v>
      </c>
      <c r="B5" s="42" t="s">
        <v>72</v>
      </c>
      <c r="C5" s="42" t="s">
        <v>122</v>
      </c>
      <c r="D5" s="42" t="s">
        <v>119</v>
      </c>
    </row>
    <row r="6" spans="1:4" ht="18">
      <c r="A6" s="42">
        <v>1</v>
      </c>
      <c r="B6" s="42">
        <v>2</v>
      </c>
      <c r="C6" s="42">
        <v>3</v>
      </c>
      <c r="D6" s="42">
        <v>4</v>
      </c>
    </row>
    <row r="7" spans="1:4" s="6" customFormat="1" ht="16.5" customHeight="1">
      <c r="A7" s="48" t="s">
        <v>123</v>
      </c>
      <c r="B7" s="49"/>
      <c r="C7" s="49"/>
      <c r="D7" s="50"/>
    </row>
    <row r="8" spans="1:4" ht="36">
      <c r="A8" s="43" t="s">
        <v>304</v>
      </c>
      <c r="B8" s="43"/>
      <c r="C8" s="343">
        <v>0</v>
      </c>
      <c r="D8" s="43"/>
    </row>
    <row r="9" spans="1:4" ht="18">
      <c r="A9" s="43" t="s">
        <v>120</v>
      </c>
      <c r="B9" s="42"/>
      <c r="C9" s="343">
        <f>C30+C59+C80</f>
        <v>17299570</v>
      </c>
      <c r="D9" s="42"/>
    </row>
    <row r="10" spans="1:4" s="6" customFormat="1" ht="18">
      <c r="A10" s="333" t="s">
        <v>40</v>
      </c>
      <c r="B10" s="42"/>
      <c r="C10" s="344"/>
      <c r="D10" s="42"/>
    </row>
    <row r="11" spans="1:4" s="6" customFormat="1" ht="18">
      <c r="A11" s="351" t="s">
        <v>86</v>
      </c>
      <c r="B11" s="352">
        <v>130</v>
      </c>
      <c r="C11" s="354">
        <v>17299570</v>
      </c>
      <c r="D11" s="337"/>
    </row>
    <row r="12" spans="1:4" s="6" customFormat="1" ht="18">
      <c r="A12" s="33"/>
      <c r="B12" s="340"/>
      <c r="C12" s="290"/>
      <c r="D12" s="122"/>
    </row>
    <row r="13" spans="1:4" ht="18">
      <c r="A13" s="350" t="s">
        <v>121</v>
      </c>
      <c r="B13" s="342"/>
      <c r="C13" s="353">
        <f>C15+C19+C20</f>
        <v>17299570</v>
      </c>
      <c r="D13" s="42"/>
    </row>
    <row r="14" spans="1:4" ht="18">
      <c r="A14" s="43" t="s">
        <v>40</v>
      </c>
      <c r="B14" s="42"/>
      <c r="C14" s="344"/>
      <c r="D14" s="42"/>
    </row>
    <row r="15" spans="1:4" s="6" customFormat="1" ht="18">
      <c r="A15" s="33" t="s">
        <v>307</v>
      </c>
      <c r="B15" s="31">
        <v>100</v>
      </c>
      <c r="C15" s="344">
        <f>C35+C65+C86</f>
        <v>13355232</v>
      </c>
      <c r="D15" s="42"/>
    </row>
    <row r="16" spans="1:4" s="6" customFormat="1" ht="18">
      <c r="A16" s="33" t="s">
        <v>309</v>
      </c>
      <c r="B16" s="334">
        <v>111</v>
      </c>
      <c r="C16" s="344">
        <f>C36+C66+C87</f>
        <v>10255173</v>
      </c>
      <c r="D16" s="42"/>
    </row>
    <row r="17" spans="1:4" s="6" customFormat="1" ht="36">
      <c r="A17" s="35" t="s">
        <v>310</v>
      </c>
      <c r="B17" s="334">
        <v>112</v>
      </c>
      <c r="C17" s="344">
        <f>C67+C88</f>
        <v>3000</v>
      </c>
      <c r="D17" s="42"/>
    </row>
    <row r="18" spans="1:4" s="6" customFormat="1" ht="54">
      <c r="A18" s="33" t="s">
        <v>312</v>
      </c>
      <c r="B18" s="42">
        <v>119</v>
      </c>
      <c r="C18" s="344">
        <f aca="true" t="shared" si="0" ref="C18:C24">C37+C68+C89</f>
        <v>3097059</v>
      </c>
      <c r="D18" s="42"/>
    </row>
    <row r="19" spans="1:4" s="6" customFormat="1" ht="18">
      <c r="A19" s="33" t="s">
        <v>472</v>
      </c>
      <c r="B19" s="42">
        <v>850</v>
      </c>
      <c r="C19" s="344">
        <f t="shared" si="0"/>
        <v>80637</v>
      </c>
      <c r="D19" s="42"/>
    </row>
    <row r="20" spans="1:4" s="6" customFormat="1" ht="36">
      <c r="A20" s="33" t="s">
        <v>68</v>
      </c>
      <c r="B20" s="42">
        <v>244</v>
      </c>
      <c r="C20" s="344">
        <f t="shared" si="0"/>
        <v>3863701</v>
      </c>
      <c r="D20" s="42"/>
    </row>
    <row r="21" spans="1:4" s="6" customFormat="1" ht="18">
      <c r="A21" s="35" t="s">
        <v>330</v>
      </c>
      <c r="B21" s="42">
        <v>244</v>
      </c>
      <c r="C21" s="344">
        <f t="shared" si="0"/>
        <v>260636</v>
      </c>
      <c r="D21" s="42"/>
    </row>
    <row r="22" spans="1:4" s="6" customFormat="1" ht="18">
      <c r="A22" s="33" t="s">
        <v>332</v>
      </c>
      <c r="B22" s="42">
        <v>244</v>
      </c>
      <c r="C22" s="344">
        <f t="shared" si="0"/>
        <v>719213</v>
      </c>
      <c r="D22" s="42"/>
    </row>
    <row r="23" spans="1:4" s="6" customFormat="1" ht="18">
      <c r="A23" s="33" t="s">
        <v>334</v>
      </c>
      <c r="B23" s="42">
        <v>244</v>
      </c>
      <c r="C23" s="344">
        <f t="shared" si="0"/>
        <v>258515</v>
      </c>
      <c r="D23" s="42"/>
    </row>
    <row r="24" spans="1:4" s="6" customFormat="1" ht="18">
      <c r="A24" s="33" t="s">
        <v>335</v>
      </c>
      <c r="B24" s="42">
        <v>244</v>
      </c>
      <c r="C24" s="344">
        <f t="shared" si="0"/>
        <v>722426</v>
      </c>
      <c r="D24" s="42"/>
    </row>
    <row r="25" spans="1:4" ht="18">
      <c r="A25" s="33" t="s">
        <v>336</v>
      </c>
      <c r="B25" s="42">
        <v>244</v>
      </c>
      <c r="C25" s="344">
        <f>C96</f>
        <v>30000</v>
      </c>
      <c r="D25" s="42"/>
    </row>
    <row r="26" spans="1:4" ht="18">
      <c r="A26" s="33" t="s">
        <v>338</v>
      </c>
      <c r="B26" s="42">
        <v>244</v>
      </c>
      <c r="C26" s="344">
        <f>C44+C75+C97</f>
        <v>1872911</v>
      </c>
      <c r="D26" s="42"/>
    </row>
    <row r="27" spans="1:4" ht="18">
      <c r="A27" s="43" t="s">
        <v>305</v>
      </c>
      <c r="B27" s="42"/>
      <c r="C27" s="343">
        <f>C8+C9-C13</f>
        <v>0</v>
      </c>
      <c r="D27" s="42"/>
    </row>
    <row r="28" spans="1:4" s="6" customFormat="1" ht="39.75" customHeight="1">
      <c r="A28" s="48" t="s">
        <v>129</v>
      </c>
      <c r="B28" s="49"/>
      <c r="C28" s="345"/>
      <c r="D28" s="50"/>
    </row>
    <row r="29" spans="1:4" s="6" customFormat="1" ht="36">
      <c r="A29" s="43" t="s">
        <v>304</v>
      </c>
      <c r="B29" s="43"/>
      <c r="C29" s="343">
        <v>0</v>
      </c>
      <c r="D29" s="43" t="s">
        <v>506</v>
      </c>
    </row>
    <row r="30" spans="1:4" s="6" customFormat="1" ht="108">
      <c r="A30" s="355" t="s">
        <v>120</v>
      </c>
      <c r="B30" s="92"/>
      <c r="C30" s="343">
        <v>1932700</v>
      </c>
      <c r="D30" s="42" t="s">
        <v>500</v>
      </c>
    </row>
    <row r="31" spans="1:4" s="6" customFormat="1" ht="18">
      <c r="A31" s="33" t="s">
        <v>40</v>
      </c>
      <c r="B31" s="122"/>
      <c r="C31" s="343"/>
      <c r="D31" s="337"/>
    </row>
    <row r="32" spans="1:4" s="6" customFormat="1" ht="18">
      <c r="A32" s="33" t="s">
        <v>86</v>
      </c>
      <c r="B32" s="352">
        <v>130</v>
      </c>
      <c r="C32" s="343">
        <v>1932700</v>
      </c>
      <c r="D32" s="42"/>
    </row>
    <row r="33" spans="1:4" s="6" customFormat="1" ht="108">
      <c r="A33" s="356" t="s">
        <v>121</v>
      </c>
      <c r="B33" s="92"/>
      <c r="C33" s="343">
        <f>C35+C38+C39</f>
        <v>1932700</v>
      </c>
      <c r="D33" s="337" t="s">
        <v>500</v>
      </c>
    </row>
    <row r="34" spans="1:4" s="6" customFormat="1" ht="18">
      <c r="A34" s="43" t="s">
        <v>40</v>
      </c>
      <c r="B34" s="42"/>
      <c r="C34" s="344"/>
      <c r="D34" s="337"/>
    </row>
    <row r="35" spans="1:4" s="6" customFormat="1" ht="18">
      <c r="A35" s="33" t="s">
        <v>307</v>
      </c>
      <c r="B35" s="31">
        <v>100</v>
      </c>
      <c r="C35" s="346">
        <v>1194340</v>
      </c>
      <c r="D35" s="337"/>
    </row>
    <row r="36" spans="1:4" s="6" customFormat="1" ht="90">
      <c r="A36" s="33" t="s">
        <v>309</v>
      </c>
      <c r="B36" s="31">
        <v>111</v>
      </c>
      <c r="C36" s="346">
        <v>917314</v>
      </c>
      <c r="D36" s="336" t="s">
        <v>480</v>
      </c>
    </row>
    <row r="37" spans="1:4" s="6" customFormat="1" ht="72">
      <c r="A37" s="33" t="s">
        <v>312</v>
      </c>
      <c r="B37" s="342">
        <v>119</v>
      </c>
      <c r="C37" s="347">
        <v>277026</v>
      </c>
      <c r="D37" s="338" t="s">
        <v>504</v>
      </c>
    </row>
    <row r="38" spans="1:4" s="6" customFormat="1" ht="36">
      <c r="A38" s="33" t="s">
        <v>472</v>
      </c>
      <c r="B38" s="42">
        <v>850</v>
      </c>
      <c r="C38" s="344">
        <v>6048</v>
      </c>
      <c r="D38" s="335" t="s">
        <v>477</v>
      </c>
    </row>
    <row r="39" spans="1:4" s="6" customFormat="1" ht="36">
      <c r="A39" s="33" t="s">
        <v>68</v>
      </c>
      <c r="B39" s="42">
        <v>244</v>
      </c>
      <c r="C39" s="344">
        <f>C40+C41+C42+C43+C44</f>
        <v>732312</v>
      </c>
      <c r="D39" s="337"/>
    </row>
    <row r="40" spans="1:4" s="6" customFormat="1" ht="54">
      <c r="A40" s="35" t="s">
        <v>330</v>
      </c>
      <c r="B40" s="42">
        <v>244</v>
      </c>
      <c r="C40" s="344">
        <v>19571</v>
      </c>
      <c r="D40" s="337" t="s">
        <v>488</v>
      </c>
    </row>
    <row r="41" spans="1:4" s="6" customFormat="1" ht="72">
      <c r="A41" s="33" t="s">
        <v>332</v>
      </c>
      <c r="B41" s="42">
        <v>244</v>
      </c>
      <c r="C41" s="344">
        <v>59400</v>
      </c>
      <c r="D41" s="335" t="s">
        <v>501</v>
      </c>
    </row>
    <row r="42" spans="1:4" s="6" customFormat="1" ht="90">
      <c r="A42" s="33" t="s">
        <v>334</v>
      </c>
      <c r="B42" s="42">
        <v>244</v>
      </c>
      <c r="C42" s="344">
        <v>52885</v>
      </c>
      <c r="D42" s="335" t="s">
        <v>502</v>
      </c>
    </row>
    <row r="43" spans="1:4" s="6" customFormat="1" ht="108">
      <c r="A43" s="33" t="s">
        <v>335</v>
      </c>
      <c r="B43" s="42">
        <v>244</v>
      </c>
      <c r="C43" s="344">
        <v>82994</v>
      </c>
      <c r="D43" s="335" t="s">
        <v>493</v>
      </c>
    </row>
    <row r="44" spans="1:4" s="6" customFormat="1" ht="193.5" customHeight="1">
      <c r="A44" s="33" t="s">
        <v>338</v>
      </c>
      <c r="B44" s="42">
        <v>244</v>
      </c>
      <c r="C44" s="344">
        <f>485661+31801</f>
        <v>517462</v>
      </c>
      <c r="D44" s="339" t="s">
        <v>503</v>
      </c>
    </row>
    <row r="45" spans="1:4" s="6" customFormat="1" ht="18">
      <c r="A45" s="43" t="s">
        <v>305</v>
      </c>
      <c r="B45" s="42"/>
      <c r="C45" s="343">
        <f>C29+C30-C33</f>
        <v>0</v>
      </c>
      <c r="D45" s="42"/>
    </row>
    <row r="46" spans="1:4" s="6" customFormat="1" ht="54.75" customHeight="1" hidden="1">
      <c r="A46" s="48" t="s">
        <v>75</v>
      </c>
      <c r="B46" s="49"/>
      <c r="C46" s="345"/>
      <c r="D46" s="50"/>
    </row>
    <row r="47" spans="1:4" s="6" customFormat="1" ht="36" hidden="1">
      <c r="A47" s="43" t="s">
        <v>304</v>
      </c>
      <c r="B47" s="43"/>
      <c r="C47" s="348"/>
      <c r="D47" s="43"/>
    </row>
    <row r="48" spans="1:4" s="6" customFormat="1" ht="18" hidden="1">
      <c r="A48" s="43" t="s">
        <v>120</v>
      </c>
      <c r="B48" s="42"/>
      <c r="C48" s="344"/>
      <c r="D48" s="42"/>
    </row>
    <row r="49" spans="1:4" s="6" customFormat="1" ht="18" hidden="1">
      <c r="A49" s="43" t="s">
        <v>40</v>
      </c>
      <c r="B49" s="42"/>
      <c r="C49" s="344"/>
      <c r="D49" s="42"/>
    </row>
    <row r="50" spans="1:4" s="6" customFormat="1" ht="18" hidden="1">
      <c r="A50" s="43"/>
      <c r="B50" s="42"/>
      <c r="C50" s="344"/>
      <c r="D50" s="42"/>
    </row>
    <row r="51" spans="1:4" s="6" customFormat="1" ht="18" hidden="1">
      <c r="A51" s="43"/>
      <c r="B51" s="42"/>
      <c r="C51" s="344"/>
      <c r="D51" s="42"/>
    </row>
    <row r="52" spans="1:4" s="6" customFormat="1" ht="18" hidden="1">
      <c r="A52" s="43" t="s">
        <v>121</v>
      </c>
      <c r="B52" s="42"/>
      <c r="C52" s="344"/>
      <c r="D52" s="42"/>
    </row>
    <row r="53" spans="1:4" s="6" customFormat="1" ht="18" hidden="1">
      <c r="A53" s="43" t="s">
        <v>40</v>
      </c>
      <c r="B53" s="42"/>
      <c r="C53" s="344"/>
      <c r="D53" s="42"/>
    </row>
    <row r="54" spans="1:4" s="6" customFormat="1" ht="18" hidden="1">
      <c r="A54" s="43"/>
      <c r="B54" s="42"/>
      <c r="C54" s="344"/>
      <c r="D54" s="42"/>
    </row>
    <row r="55" spans="1:4" s="6" customFormat="1" ht="18" hidden="1">
      <c r="A55" s="43"/>
      <c r="B55" s="42"/>
      <c r="C55" s="344"/>
      <c r="D55" s="42"/>
    </row>
    <row r="56" spans="1:4" s="6" customFormat="1" ht="18" hidden="1">
      <c r="A56" s="43" t="s">
        <v>305</v>
      </c>
      <c r="B56" s="42"/>
      <c r="C56" s="344"/>
      <c r="D56" s="42"/>
    </row>
    <row r="57" spans="1:4" s="6" customFormat="1" ht="16.5" customHeight="1">
      <c r="A57" s="48" t="s">
        <v>77</v>
      </c>
      <c r="B57" s="49"/>
      <c r="C57" s="345"/>
      <c r="D57" s="50"/>
    </row>
    <row r="58" spans="1:4" s="6" customFormat="1" ht="36">
      <c r="A58" s="43" t="s">
        <v>304</v>
      </c>
      <c r="B58" s="43"/>
      <c r="C58" s="348">
        <v>0</v>
      </c>
      <c r="D58" s="43" t="s">
        <v>507</v>
      </c>
    </row>
    <row r="59" spans="1:4" s="6" customFormat="1" ht="93" customHeight="1">
      <c r="A59" s="43" t="s">
        <v>120</v>
      </c>
      <c r="B59" s="42">
        <v>0</v>
      </c>
      <c r="C59" s="343">
        <v>10366870</v>
      </c>
      <c r="D59" s="339" t="s">
        <v>499</v>
      </c>
    </row>
    <row r="60" spans="1:4" s="6" customFormat="1" ht="16.5" customHeight="1">
      <c r="A60" s="33" t="s">
        <v>40</v>
      </c>
      <c r="B60" s="122"/>
      <c r="C60" s="343"/>
      <c r="D60" s="339"/>
    </row>
    <row r="61" spans="1:4" s="6" customFormat="1" ht="18">
      <c r="A61" s="351" t="s">
        <v>86</v>
      </c>
      <c r="B61" s="352">
        <v>130</v>
      </c>
      <c r="C61" s="354">
        <v>10366870</v>
      </c>
      <c r="D61" s="341"/>
    </row>
    <row r="62" spans="1:4" s="6" customFormat="1" ht="18">
      <c r="A62" s="33"/>
      <c r="B62" s="340"/>
      <c r="C62" s="357"/>
      <c r="D62" s="340"/>
    </row>
    <row r="63" spans="1:4" s="6" customFormat="1" ht="144">
      <c r="A63" s="350" t="s">
        <v>121</v>
      </c>
      <c r="B63" s="342"/>
      <c r="C63" s="353">
        <f>C65+C69+C70</f>
        <v>10366870</v>
      </c>
      <c r="D63" s="338" t="s">
        <v>499</v>
      </c>
    </row>
    <row r="64" spans="1:4" s="6" customFormat="1" ht="18">
      <c r="A64" s="43" t="s">
        <v>40</v>
      </c>
      <c r="B64" s="42"/>
      <c r="C64" s="344"/>
      <c r="D64" s="337"/>
    </row>
    <row r="65" spans="1:4" s="6" customFormat="1" ht="18">
      <c r="A65" s="33" t="s">
        <v>307</v>
      </c>
      <c r="B65" s="31">
        <v>100</v>
      </c>
      <c r="C65" s="344">
        <f>C66+C67+C68</f>
        <v>9082181</v>
      </c>
      <c r="D65" s="337"/>
    </row>
    <row r="66" spans="1:4" s="6" customFormat="1" ht="270">
      <c r="A66" s="33" t="s">
        <v>309</v>
      </c>
      <c r="B66" s="31">
        <v>111</v>
      </c>
      <c r="C66" s="349">
        <v>6973718</v>
      </c>
      <c r="D66" s="335" t="s">
        <v>481</v>
      </c>
    </row>
    <row r="67" spans="1:4" s="6" customFormat="1" ht="36">
      <c r="A67" s="35" t="s">
        <v>310</v>
      </c>
      <c r="B67" s="334">
        <v>112</v>
      </c>
      <c r="C67" s="344">
        <v>2400</v>
      </c>
      <c r="D67" s="335" t="s">
        <v>485</v>
      </c>
    </row>
    <row r="68" spans="1:4" s="6" customFormat="1" ht="72">
      <c r="A68" s="33" t="s">
        <v>312</v>
      </c>
      <c r="B68" s="42">
        <v>119</v>
      </c>
      <c r="C68" s="344">
        <v>2106063</v>
      </c>
      <c r="D68" s="338" t="s">
        <v>505</v>
      </c>
    </row>
    <row r="69" spans="1:4" s="6" customFormat="1" ht="129" customHeight="1">
      <c r="A69" s="33" t="s">
        <v>472</v>
      </c>
      <c r="B69" s="42">
        <v>850</v>
      </c>
      <c r="C69" s="344">
        <v>47575</v>
      </c>
      <c r="D69" s="335" t="s">
        <v>478</v>
      </c>
    </row>
    <row r="70" spans="1:4" s="6" customFormat="1" ht="36">
      <c r="A70" s="33" t="s">
        <v>68</v>
      </c>
      <c r="B70" s="42">
        <v>244</v>
      </c>
      <c r="C70" s="344">
        <v>1237114</v>
      </c>
      <c r="D70" s="337"/>
    </row>
    <row r="71" spans="1:4" s="6" customFormat="1" ht="54">
      <c r="A71" s="35" t="s">
        <v>330</v>
      </c>
      <c r="B71" s="42">
        <v>244</v>
      </c>
      <c r="C71" s="344">
        <v>134448</v>
      </c>
      <c r="D71" s="335" t="s">
        <v>489</v>
      </c>
    </row>
    <row r="72" spans="1:4" s="6" customFormat="1" ht="90">
      <c r="A72" s="33" t="s">
        <v>332</v>
      </c>
      <c r="B72" s="42">
        <v>244</v>
      </c>
      <c r="C72" s="344">
        <v>422462</v>
      </c>
      <c r="D72" s="335" t="s">
        <v>483</v>
      </c>
    </row>
    <row r="73" spans="1:4" s="6" customFormat="1" ht="36">
      <c r="A73" s="33" t="s">
        <v>334</v>
      </c>
      <c r="B73" s="42">
        <v>244</v>
      </c>
      <c r="C73" s="344">
        <v>46000</v>
      </c>
      <c r="D73" s="335" t="s">
        <v>491</v>
      </c>
    </row>
    <row r="74" spans="1:4" s="6" customFormat="1" ht="90">
      <c r="A74" s="33" t="s">
        <v>335</v>
      </c>
      <c r="B74" s="42">
        <v>244</v>
      </c>
      <c r="C74" s="344">
        <v>51282</v>
      </c>
      <c r="D74" s="335" t="s">
        <v>494</v>
      </c>
    </row>
    <row r="75" spans="1:4" s="6" customFormat="1" ht="36">
      <c r="A75" s="33" t="s">
        <v>338</v>
      </c>
      <c r="B75" s="42">
        <v>244</v>
      </c>
      <c r="C75" s="344">
        <v>582922</v>
      </c>
      <c r="D75" s="335" t="s">
        <v>497</v>
      </c>
    </row>
    <row r="76" spans="1:4" s="6" customFormat="1" ht="18">
      <c r="A76" s="43"/>
      <c r="B76" s="42"/>
      <c r="C76" s="344"/>
      <c r="D76" s="42"/>
    </row>
    <row r="77" spans="1:4" s="6" customFormat="1" ht="18">
      <c r="A77" s="43" t="s">
        <v>305</v>
      </c>
      <c r="B77" s="42"/>
      <c r="C77" s="343">
        <f>C58+C59-C63</f>
        <v>0</v>
      </c>
      <c r="D77" s="42"/>
    </row>
    <row r="78" spans="1:4" s="6" customFormat="1" ht="55.5" customHeight="1">
      <c r="A78" s="48" t="s">
        <v>78</v>
      </c>
      <c r="B78" s="49"/>
      <c r="C78" s="345"/>
      <c r="D78" s="50"/>
    </row>
    <row r="79" spans="1:4" s="6" customFormat="1" ht="36">
      <c r="A79" s="43" t="s">
        <v>304</v>
      </c>
      <c r="B79" s="43"/>
      <c r="C79" s="343">
        <v>0</v>
      </c>
      <c r="D79" s="43" t="s">
        <v>506</v>
      </c>
    </row>
    <row r="80" spans="1:4" s="6" customFormat="1" ht="180">
      <c r="A80" s="43" t="s">
        <v>120</v>
      </c>
      <c r="B80" s="42"/>
      <c r="C80" s="343">
        <v>5000000</v>
      </c>
      <c r="D80" s="335" t="s">
        <v>508</v>
      </c>
    </row>
    <row r="81" spans="1:4" s="6" customFormat="1" ht="18">
      <c r="A81" s="33" t="s">
        <v>40</v>
      </c>
      <c r="B81" s="122"/>
      <c r="C81" s="343"/>
      <c r="D81" s="335"/>
    </row>
    <row r="82" spans="1:4" s="6" customFormat="1" ht="18">
      <c r="A82" s="351" t="s">
        <v>86</v>
      </c>
      <c r="B82" s="352">
        <v>130</v>
      </c>
      <c r="C82" s="343">
        <v>5000000</v>
      </c>
      <c r="D82" s="42"/>
    </row>
    <row r="83" spans="1:4" s="6" customFormat="1" ht="18">
      <c r="A83" s="33"/>
      <c r="B83" s="352"/>
      <c r="C83" s="343"/>
      <c r="D83" s="337"/>
    </row>
    <row r="84" spans="1:4" s="6" customFormat="1" ht="18">
      <c r="A84" s="350" t="s">
        <v>121</v>
      </c>
      <c r="B84" s="42"/>
      <c r="C84" s="343">
        <f>C86+C90+C91</f>
        <v>5000000</v>
      </c>
      <c r="D84" s="42"/>
    </row>
    <row r="85" spans="1:4" s="6" customFormat="1" ht="18">
      <c r="A85" s="43" t="s">
        <v>40</v>
      </c>
      <c r="B85" s="42"/>
      <c r="C85" s="344"/>
      <c r="D85" s="42"/>
    </row>
    <row r="86" spans="1:4" s="6" customFormat="1" ht="18">
      <c r="A86" s="33" t="s">
        <v>307</v>
      </c>
      <c r="B86" s="31">
        <v>100</v>
      </c>
      <c r="C86" s="344">
        <f>C87+C88+C89</f>
        <v>3078711</v>
      </c>
      <c r="D86" s="42"/>
    </row>
    <row r="87" spans="1:4" s="6" customFormat="1" ht="252">
      <c r="A87" s="33" t="s">
        <v>309</v>
      </c>
      <c r="B87" s="334">
        <v>111</v>
      </c>
      <c r="C87" s="344">
        <v>2364141</v>
      </c>
      <c r="D87" s="335" t="s">
        <v>482</v>
      </c>
    </row>
    <row r="88" spans="1:4" s="6" customFormat="1" ht="36">
      <c r="A88" s="35" t="s">
        <v>310</v>
      </c>
      <c r="B88" s="334">
        <v>112</v>
      </c>
      <c r="C88" s="344">
        <v>600</v>
      </c>
      <c r="D88" s="337" t="s">
        <v>486</v>
      </c>
    </row>
    <row r="89" spans="1:4" s="6" customFormat="1" ht="180">
      <c r="A89" s="33" t="s">
        <v>312</v>
      </c>
      <c r="B89" s="42">
        <v>119</v>
      </c>
      <c r="C89" s="344">
        <v>713970</v>
      </c>
      <c r="D89" s="338" t="s">
        <v>487</v>
      </c>
    </row>
    <row r="90" spans="1:4" s="6" customFormat="1" ht="54">
      <c r="A90" s="33" t="s">
        <v>472</v>
      </c>
      <c r="B90" s="42">
        <v>850</v>
      </c>
      <c r="C90" s="344">
        <v>27014</v>
      </c>
      <c r="D90" s="335" t="s">
        <v>479</v>
      </c>
    </row>
    <row r="91" spans="1:4" s="6" customFormat="1" ht="36">
      <c r="A91" s="33" t="s">
        <v>68</v>
      </c>
      <c r="B91" s="42">
        <v>244</v>
      </c>
      <c r="C91" s="344">
        <f>C92+C93+C94+C95+C96+C97</f>
        <v>1894275</v>
      </c>
      <c r="D91" s="337"/>
    </row>
    <row r="92" spans="1:4" s="6" customFormat="1" ht="54">
      <c r="A92" s="35" t="s">
        <v>330</v>
      </c>
      <c r="B92" s="42">
        <v>244</v>
      </c>
      <c r="C92" s="344">
        <v>106617</v>
      </c>
      <c r="D92" s="337" t="s">
        <v>490</v>
      </c>
    </row>
    <row r="93" spans="1:4" s="6" customFormat="1" ht="72">
      <c r="A93" s="33" t="s">
        <v>332</v>
      </c>
      <c r="B93" s="42">
        <v>244</v>
      </c>
      <c r="C93" s="344">
        <v>237351</v>
      </c>
      <c r="D93" s="335" t="s">
        <v>484</v>
      </c>
    </row>
    <row r="94" spans="1:4" s="6" customFormat="1" ht="180">
      <c r="A94" s="33" t="s">
        <v>334</v>
      </c>
      <c r="B94" s="42">
        <v>244</v>
      </c>
      <c r="C94" s="344">
        <v>159630</v>
      </c>
      <c r="D94" s="335" t="s">
        <v>492</v>
      </c>
    </row>
    <row r="95" spans="1:4" s="6" customFormat="1" ht="162">
      <c r="A95" s="33" t="s">
        <v>335</v>
      </c>
      <c r="B95" s="42">
        <v>244</v>
      </c>
      <c r="C95" s="344">
        <v>588150</v>
      </c>
      <c r="D95" s="335" t="s">
        <v>495</v>
      </c>
    </row>
    <row r="96" spans="1:4" s="6" customFormat="1" ht="18">
      <c r="A96" s="33" t="s">
        <v>336</v>
      </c>
      <c r="B96" s="42">
        <v>244</v>
      </c>
      <c r="C96" s="344">
        <v>30000</v>
      </c>
      <c r="D96" s="335" t="s">
        <v>496</v>
      </c>
    </row>
    <row r="97" spans="1:4" s="6" customFormat="1" ht="126">
      <c r="A97" s="33" t="s">
        <v>338</v>
      </c>
      <c r="B97" s="42">
        <v>244</v>
      </c>
      <c r="C97" s="344">
        <v>772527</v>
      </c>
      <c r="D97" s="335" t="s">
        <v>498</v>
      </c>
    </row>
    <row r="98" spans="1:4" s="6" customFormat="1" ht="18">
      <c r="A98" s="43" t="s">
        <v>305</v>
      </c>
      <c r="B98" s="42"/>
      <c r="C98" s="343">
        <f>C79+C80-C84</f>
        <v>0</v>
      </c>
      <c r="D98" s="42"/>
    </row>
    <row r="99" spans="1:4" s="6" customFormat="1" ht="34.5" customHeight="1">
      <c r="A99" s="628" t="s">
        <v>132</v>
      </c>
      <c r="B99" s="628"/>
      <c r="C99" s="628"/>
      <c r="D99" s="628"/>
    </row>
    <row r="100" spans="1:4" ht="51" customHeight="1">
      <c r="A100" s="47" t="s">
        <v>124</v>
      </c>
      <c r="B100" s="46"/>
      <c r="C100" s="51" t="s">
        <v>131</v>
      </c>
      <c r="D100" s="51" t="s">
        <v>473</v>
      </c>
    </row>
    <row r="101" spans="1:4" s="6" customFormat="1" ht="18">
      <c r="A101" s="12" t="s">
        <v>128</v>
      </c>
      <c r="B101" s="44"/>
      <c r="C101" s="52" t="s">
        <v>29</v>
      </c>
      <c r="D101" s="52" t="s">
        <v>127</v>
      </c>
    </row>
    <row r="102" spans="1:4" ht="43.5" customHeight="1">
      <c r="A102" s="45" t="s">
        <v>125</v>
      </c>
      <c r="B102" s="46"/>
      <c r="C102" s="51" t="s">
        <v>131</v>
      </c>
      <c r="D102" s="51" t="s">
        <v>474</v>
      </c>
    </row>
    <row r="103" spans="1:4" s="6" customFormat="1" ht="18">
      <c r="A103" s="12" t="s">
        <v>128</v>
      </c>
      <c r="B103" s="44"/>
      <c r="C103" s="52" t="s">
        <v>29</v>
      </c>
      <c r="D103" s="52" t="s">
        <v>127</v>
      </c>
    </row>
    <row r="104" spans="1:4" ht="47.25" customHeight="1">
      <c r="A104" s="45" t="s">
        <v>126</v>
      </c>
      <c r="B104" s="46"/>
      <c r="C104" s="51" t="s">
        <v>131</v>
      </c>
      <c r="D104" s="51" t="s">
        <v>475</v>
      </c>
    </row>
    <row r="105" spans="1:4" ht="15" customHeight="1">
      <c r="A105" s="12" t="s">
        <v>128</v>
      </c>
      <c r="B105" s="44"/>
      <c r="C105" s="52" t="s">
        <v>29</v>
      </c>
      <c r="D105" s="52" t="s">
        <v>127</v>
      </c>
    </row>
    <row r="106" spans="2:4" ht="14.25">
      <c r="B106" s="41"/>
      <c r="C106" s="36"/>
      <c r="D106" s="36"/>
    </row>
    <row r="107" spans="3:4" ht="14.25">
      <c r="C107" s="36"/>
      <c r="D107" s="36"/>
    </row>
    <row r="108" spans="3:4" ht="14.25">
      <c r="C108" s="36"/>
      <c r="D108" s="36"/>
    </row>
  </sheetData>
  <sheetProtection/>
  <autoFilter ref="A6:D6"/>
  <mergeCells count="3">
    <mergeCell ref="A99:D99"/>
    <mergeCell ref="A2:D2"/>
    <mergeCell ref="A3:C3"/>
  </mergeCells>
  <printOptions/>
  <pageMargins left="0.31496062992125984" right="0.31496062992125984" top="0.35433070866141736" bottom="0.35433070866141736" header="0.31496062992125984" footer="0.31496062992125984"/>
  <pageSetup fitToHeight="4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0"/>
  <sheetViews>
    <sheetView view="pageBreakPreview" zoomScale="50" zoomScaleNormal="47" zoomScaleSheetLayoutView="50" zoomScalePageLayoutView="0" workbookViewId="0" topLeftCell="A26">
      <selection activeCell="G46" sqref="G46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9.421875" style="6" customWidth="1"/>
    <col min="4" max="4" width="26.28125" style="25" customWidth="1"/>
    <col min="5" max="5" width="22.7109375" style="6" customWidth="1"/>
    <col min="6" max="6" width="13.7109375" style="6" customWidth="1"/>
    <col min="7" max="7" width="14.57421875" style="6" customWidth="1"/>
    <col min="8" max="8" width="17.28125" style="6" customWidth="1"/>
    <col min="9" max="9" width="14.7109375" style="6" customWidth="1"/>
    <col min="10" max="13" width="9.140625" style="6" customWidth="1"/>
    <col min="14" max="14" width="12.00390625" style="6" customWidth="1"/>
    <col min="15" max="16" width="9.140625" style="6" customWidth="1"/>
    <col min="17" max="17" width="25.140625" style="6" customWidth="1"/>
    <col min="18" max="16384" width="9.140625" style="6" customWidth="1"/>
  </cols>
  <sheetData>
    <row r="1" spans="1:21" ht="18">
      <c r="A1" s="14"/>
      <c r="D1" s="6"/>
      <c r="P1" s="11"/>
      <c r="U1" s="11" t="s">
        <v>362</v>
      </c>
    </row>
    <row r="2" ht="14.25">
      <c r="A2" s="19"/>
    </row>
    <row r="3" spans="1:16" ht="14.25">
      <c r="A3" s="20"/>
      <c r="P3" s="6" t="s">
        <v>12</v>
      </c>
    </row>
    <row r="4" spans="1:22" ht="20.25">
      <c r="A4" s="596" t="s">
        <v>96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</row>
    <row r="5" spans="1:22" ht="20.25">
      <c r="A5" s="453"/>
      <c r="B5" s="453"/>
      <c r="C5" s="453"/>
      <c r="D5" s="456"/>
      <c r="E5" s="502" t="s">
        <v>740</v>
      </c>
      <c r="F5" s="451"/>
      <c r="G5" s="456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</row>
    <row r="6" spans="1:22" ht="18">
      <c r="A6" s="453"/>
      <c r="B6" s="453"/>
      <c r="C6" s="453"/>
      <c r="D6" s="453"/>
      <c r="F6" s="452"/>
      <c r="G6" s="453"/>
      <c r="H6" s="452" t="s">
        <v>344</v>
      </c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</row>
    <row r="7" spans="1:22" ht="20.25">
      <c r="A7" s="596" t="s">
        <v>741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</row>
    <row r="8" spans="1:7" ht="17.25" customHeight="1">
      <c r="A8" s="20"/>
      <c r="D8" s="575"/>
      <c r="E8" s="575"/>
      <c r="F8" s="575"/>
      <c r="G8" s="575"/>
    </row>
    <row r="9" spans="1:22" ht="18.75" customHeight="1">
      <c r="A9" s="599" t="s">
        <v>20</v>
      </c>
      <c r="B9" s="600" t="s">
        <v>56</v>
      </c>
      <c r="C9" s="601" t="s">
        <v>72</v>
      </c>
      <c r="D9" s="579" t="s">
        <v>74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03"/>
    </row>
    <row r="10" spans="1:22" ht="21">
      <c r="A10" s="599"/>
      <c r="B10" s="600"/>
      <c r="C10" s="602"/>
      <c r="D10" s="604" t="s">
        <v>363</v>
      </c>
      <c r="E10" s="605" t="s">
        <v>21</v>
      </c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504"/>
    </row>
    <row r="11" spans="1:22" ht="15" customHeight="1">
      <c r="A11" s="599"/>
      <c r="B11" s="600"/>
      <c r="C11" s="602"/>
      <c r="D11" s="604"/>
      <c r="E11" s="589" t="s">
        <v>373</v>
      </c>
      <c r="F11" s="589" t="s">
        <v>374</v>
      </c>
      <c r="G11" s="595" t="s">
        <v>375</v>
      </c>
      <c r="H11" s="595" t="s">
        <v>376</v>
      </c>
      <c r="I11" s="592" t="s">
        <v>377</v>
      </c>
      <c r="J11" s="592" t="s">
        <v>378</v>
      </c>
      <c r="K11" s="592" t="s">
        <v>379</v>
      </c>
      <c r="L11" s="592" t="s">
        <v>380</v>
      </c>
      <c r="M11" s="592" t="s">
        <v>381</v>
      </c>
      <c r="N11" s="592" t="s">
        <v>382</v>
      </c>
      <c r="O11" s="592" t="s">
        <v>383</v>
      </c>
      <c r="P11" s="592" t="s">
        <v>384</v>
      </c>
      <c r="Q11" s="592" t="s">
        <v>429</v>
      </c>
      <c r="R11" s="589" t="s">
        <v>683</v>
      </c>
      <c r="S11" s="589" t="s">
        <v>684</v>
      </c>
      <c r="T11" s="589" t="s">
        <v>685</v>
      </c>
      <c r="U11" s="589" t="s">
        <v>686</v>
      </c>
      <c r="V11" s="283"/>
    </row>
    <row r="12" spans="1:22" ht="15" customHeight="1">
      <c r="A12" s="599"/>
      <c r="B12" s="600"/>
      <c r="C12" s="602"/>
      <c r="D12" s="604"/>
      <c r="E12" s="590"/>
      <c r="F12" s="590"/>
      <c r="G12" s="590"/>
      <c r="H12" s="590"/>
      <c r="I12" s="593"/>
      <c r="J12" s="593"/>
      <c r="K12" s="593"/>
      <c r="L12" s="593"/>
      <c r="M12" s="593"/>
      <c r="N12" s="593"/>
      <c r="O12" s="593"/>
      <c r="P12" s="593"/>
      <c r="Q12" s="593"/>
      <c r="R12" s="597"/>
      <c r="S12" s="597"/>
      <c r="T12" s="597"/>
      <c r="U12" s="590"/>
      <c r="V12" s="283"/>
    </row>
    <row r="13" spans="1:22" ht="15" customHeight="1">
      <c r="A13" s="599"/>
      <c r="B13" s="600"/>
      <c r="C13" s="602"/>
      <c r="D13" s="604"/>
      <c r="E13" s="590"/>
      <c r="F13" s="590"/>
      <c r="G13" s="590"/>
      <c r="H13" s="590"/>
      <c r="I13" s="593"/>
      <c r="J13" s="593"/>
      <c r="K13" s="593"/>
      <c r="L13" s="593"/>
      <c r="M13" s="593"/>
      <c r="N13" s="593"/>
      <c r="O13" s="593"/>
      <c r="P13" s="593"/>
      <c r="Q13" s="593"/>
      <c r="R13" s="597"/>
      <c r="S13" s="597"/>
      <c r="T13" s="597"/>
      <c r="U13" s="590"/>
      <c r="V13" s="283"/>
    </row>
    <row r="14" spans="1:22" ht="15" customHeight="1">
      <c r="A14" s="599"/>
      <c r="B14" s="600"/>
      <c r="C14" s="602"/>
      <c r="D14" s="604"/>
      <c r="E14" s="590"/>
      <c r="F14" s="590"/>
      <c r="G14" s="590"/>
      <c r="H14" s="590"/>
      <c r="I14" s="593"/>
      <c r="J14" s="593"/>
      <c r="K14" s="593"/>
      <c r="L14" s="593"/>
      <c r="M14" s="593"/>
      <c r="N14" s="593"/>
      <c r="O14" s="593"/>
      <c r="P14" s="593"/>
      <c r="Q14" s="593"/>
      <c r="R14" s="597"/>
      <c r="S14" s="597"/>
      <c r="T14" s="597"/>
      <c r="U14" s="590"/>
      <c r="V14" s="283"/>
    </row>
    <row r="15" spans="1:22" ht="15" customHeight="1">
      <c r="A15" s="599"/>
      <c r="B15" s="600"/>
      <c r="C15" s="602"/>
      <c r="D15" s="604"/>
      <c r="E15" s="590"/>
      <c r="F15" s="590"/>
      <c r="G15" s="590"/>
      <c r="H15" s="590"/>
      <c r="I15" s="593"/>
      <c r="J15" s="593"/>
      <c r="K15" s="593"/>
      <c r="L15" s="593"/>
      <c r="M15" s="593"/>
      <c r="N15" s="593"/>
      <c r="O15" s="593"/>
      <c r="P15" s="593"/>
      <c r="Q15" s="593"/>
      <c r="R15" s="597"/>
      <c r="S15" s="597"/>
      <c r="T15" s="597"/>
      <c r="U15" s="590"/>
      <c r="V15" s="283"/>
    </row>
    <row r="16" spans="1:22" ht="15" customHeight="1">
      <c r="A16" s="599"/>
      <c r="B16" s="600"/>
      <c r="C16" s="602"/>
      <c r="D16" s="604"/>
      <c r="E16" s="590"/>
      <c r="F16" s="590"/>
      <c r="G16" s="590"/>
      <c r="H16" s="590"/>
      <c r="I16" s="593"/>
      <c r="J16" s="593"/>
      <c r="K16" s="593"/>
      <c r="L16" s="593"/>
      <c r="M16" s="593"/>
      <c r="N16" s="593"/>
      <c r="O16" s="593"/>
      <c r="P16" s="593"/>
      <c r="Q16" s="593"/>
      <c r="R16" s="597"/>
      <c r="S16" s="597"/>
      <c r="T16" s="597"/>
      <c r="U16" s="590"/>
      <c r="V16" s="283"/>
    </row>
    <row r="17" spans="1:22" ht="33.75" customHeight="1">
      <c r="A17" s="599"/>
      <c r="B17" s="600"/>
      <c r="C17" s="602"/>
      <c r="D17" s="604"/>
      <c r="E17" s="590"/>
      <c r="F17" s="590"/>
      <c r="G17" s="590"/>
      <c r="H17" s="590"/>
      <c r="I17" s="593"/>
      <c r="J17" s="593"/>
      <c r="K17" s="593"/>
      <c r="L17" s="593"/>
      <c r="M17" s="593"/>
      <c r="N17" s="593"/>
      <c r="O17" s="593"/>
      <c r="P17" s="593"/>
      <c r="Q17" s="593"/>
      <c r="R17" s="597"/>
      <c r="S17" s="597"/>
      <c r="T17" s="597"/>
      <c r="U17" s="590"/>
      <c r="V17" s="283"/>
    </row>
    <row r="18" spans="1:22" ht="373.5" customHeight="1">
      <c r="A18" s="599"/>
      <c r="B18" s="600"/>
      <c r="C18" s="603"/>
      <c r="D18" s="604"/>
      <c r="E18" s="591"/>
      <c r="F18" s="591"/>
      <c r="G18" s="591"/>
      <c r="H18" s="591"/>
      <c r="I18" s="594"/>
      <c r="J18" s="594"/>
      <c r="K18" s="594"/>
      <c r="L18" s="594"/>
      <c r="M18" s="594"/>
      <c r="N18" s="594"/>
      <c r="O18" s="594"/>
      <c r="P18" s="594"/>
      <c r="Q18" s="594"/>
      <c r="R18" s="598"/>
      <c r="S18" s="598"/>
      <c r="T18" s="598"/>
      <c r="U18" s="591"/>
      <c r="V18" s="283"/>
    </row>
    <row r="19" spans="1:21" s="153" customFormat="1" ht="18">
      <c r="A19" s="455">
        <v>1</v>
      </c>
      <c r="B19" s="455">
        <v>2</v>
      </c>
      <c r="C19" s="455">
        <v>3</v>
      </c>
      <c r="D19" s="455">
        <v>4</v>
      </c>
      <c r="E19" s="455">
        <v>5</v>
      </c>
      <c r="F19" s="455">
        <v>6</v>
      </c>
      <c r="G19" s="455">
        <v>7</v>
      </c>
      <c r="H19" s="455">
        <v>8</v>
      </c>
      <c r="I19" s="455">
        <v>9</v>
      </c>
      <c r="J19" s="455">
        <v>10</v>
      </c>
      <c r="K19" s="455">
        <v>11</v>
      </c>
      <c r="L19" s="455">
        <v>12</v>
      </c>
      <c r="M19" s="455">
        <v>13</v>
      </c>
      <c r="N19" s="455">
        <v>14</v>
      </c>
      <c r="O19" s="455">
        <v>15</v>
      </c>
      <c r="P19" s="455">
        <v>16</v>
      </c>
      <c r="Q19" s="455">
        <v>17</v>
      </c>
      <c r="R19" s="455">
        <v>18</v>
      </c>
      <c r="S19" s="455">
        <v>19</v>
      </c>
      <c r="T19" s="455">
        <v>20</v>
      </c>
      <c r="U19" s="455">
        <v>21</v>
      </c>
    </row>
    <row r="20" spans="1:21" s="25" customFormat="1" ht="34.5">
      <c r="A20" s="10" t="s">
        <v>79</v>
      </c>
      <c r="B20" s="27" t="s">
        <v>81</v>
      </c>
      <c r="C20" s="454" t="s">
        <v>60</v>
      </c>
      <c r="D20" s="28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54" customHeight="1">
      <c r="A21" s="10" t="s">
        <v>84</v>
      </c>
      <c r="B21" s="454">
        <v>100</v>
      </c>
      <c r="C21" s="454" t="s">
        <v>63</v>
      </c>
      <c r="D21" s="460">
        <f>D23</f>
        <v>305600</v>
      </c>
      <c r="E21" s="461">
        <f>E23</f>
        <v>63600</v>
      </c>
      <c r="F21" s="461">
        <v>0</v>
      </c>
      <c r="G21" s="461">
        <v>0</v>
      </c>
      <c r="H21" s="461">
        <v>0</v>
      </c>
      <c r="I21" s="460">
        <f>I23</f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f>Q23</f>
        <v>242000</v>
      </c>
      <c r="R21" s="28"/>
      <c r="S21" s="28"/>
      <c r="T21" s="28"/>
      <c r="U21" s="28">
        <v>0</v>
      </c>
    </row>
    <row r="22" spans="1:21" ht="54" hidden="1">
      <c r="A22" s="2" t="s">
        <v>61</v>
      </c>
      <c r="B22" s="22" t="s">
        <v>82</v>
      </c>
      <c r="C22" s="455">
        <v>180</v>
      </c>
      <c r="D22" s="461">
        <v>0</v>
      </c>
      <c r="E22" s="462"/>
      <c r="F22" s="462"/>
      <c r="G22" s="462"/>
      <c r="H22" s="462"/>
      <c r="I22" s="46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36">
      <c r="A23" s="2" t="s">
        <v>89</v>
      </c>
      <c r="B23" s="455">
        <v>150</v>
      </c>
      <c r="C23" s="455">
        <v>180</v>
      </c>
      <c r="D23" s="460">
        <f>E23+F23+G23+H23+I23+J23+K23+L23+M23+N23+O23+P23+Q23+R23+S23+T23+U23</f>
        <v>305600</v>
      </c>
      <c r="E23" s="473">
        <v>63600</v>
      </c>
      <c r="F23" s="464"/>
      <c r="G23" s="464"/>
      <c r="H23" s="464"/>
      <c r="I23" s="474"/>
      <c r="J23" s="455"/>
      <c r="K23" s="455"/>
      <c r="L23" s="455"/>
      <c r="M23" s="455"/>
      <c r="N23" s="455"/>
      <c r="O23" s="455"/>
      <c r="P23" s="455"/>
      <c r="Q23" s="28">
        <v>242000</v>
      </c>
      <c r="R23" s="455"/>
      <c r="S23" s="455"/>
      <c r="T23" s="455"/>
      <c r="U23" s="455"/>
    </row>
    <row r="24" spans="1:21" ht="26.25" customHeight="1">
      <c r="A24" s="2"/>
      <c r="B24" s="455"/>
      <c r="C24" s="455"/>
      <c r="D24" s="460"/>
      <c r="E24" s="464"/>
      <c r="F24" s="464"/>
      <c r="G24" s="464"/>
      <c r="H24" s="464"/>
      <c r="I24" s="46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</row>
    <row r="25" spans="1:21" s="26" customFormat="1" ht="39" customHeight="1">
      <c r="A25" s="30" t="s">
        <v>64</v>
      </c>
      <c r="B25" s="31">
        <v>200</v>
      </c>
      <c r="C25" s="31" t="s">
        <v>63</v>
      </c>
      <c r="D25" s="460">
        <f>D26+D31</f>
        <v>305600</v>
      </c>
      <c r="E25" s="466">
        <v>63600</v>
      </c>
      <c r="F25" s="466"/>
      <c r="G25" s="466">
        <v>0</v>
      </c>
      <c r="H25" s="466">
        <v>0</v>
      </c>
      <c r="I25" s="467">
        <f>I21</f>
        <v>0</v>
      </c>
      <c r="J25" s="32"/>
      <c r="K25" s="32"/>
      <c r="L25" s="32"/>
      <c r="M25" s="32"/>
      <c r="N25" s="32"/>
      <c r="O25" s="32"/>
      <c r="P25" s="32"/>
      <c r="Q25" s="32">
        <f>Q26</f>
        <v>242000</v>
      </c>
      <c r="R25" s="32"/>
      <c r="S25" s="32"/>
      <c r="T25" s="32"/>
      <c r="U25" s="32">
        <v>0</v>
      </c>
    </row>
    <row r="26" spans="1:21" s="26" customFormat="1" ht="72.75" customHeight="1">
      <c r="A26" s="33" t="s">
        <v>307</v>
      </c>
      <c r="B26" s="31">
        <v>210</v>
      </c>
      <c r="C26" s="31">
        <v>100</v>
      </c>
      <c r="D26" s="460">
        <f>D29</f>
        <v>253200</v>
      </c>
      <c r="E26" s="460">
        <f>E29</f>
        <v>11200</v>
      </c>
      <c r="F26" s="468"/>
      <c r="G26" s="468">
        <v>0</v>
      </c>
      <c r="H26" s="468">
        <v>0</v>
      </c>
      <c r="I26" s="469">
        <f>I23</f>
        <v>0</v>
      </c>
      <c r="J26" s="34"/>
      <c r="K26" s="34"/>
      <c r="L26" s="34"/>
      <c r="M26" s="34"/>
      <c r="N26" s="34"/>
      <c r="O26" s="34"/>
      <c r="P26" s="34"/>
      <c r="Q26" s="34">
        <f>Q29</f>
        <v>242000</v>
      </c>
      <c r="R26" s="34"/>
      <c r="S26" s="34"/>
      <c r="T26" s="34"/>
      <c r="U26" s="34">
        <v>0</v>
      </c>
    </row>
    <row r="27" spans="1:21" s="26" customFormat="1" ht="54">
      <c r="A27" s="33" t="s">
        <v>308</v>
      </c>
      <c r="B27" s="31">
        <v>211</v>
      </c>
      <c r="C27" s="31">
        <v>111.119</v>
      </c>
      <c r="D27" s="460">
        <v>0</v>
      </c>
      <c r="E27" s="468">
        <v>0</v>
      </c>
      <c r="F27" s="468"/>
      <c r="G27" s="468">
        <v>0</v>
      </c>
      <c r="H27" s="468">
        <v>0</v>
      </c>
      <c r="I27" s="469"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>
        <v>0</v>
      </c>
    </row>
    <row r="28" spans="1:21" s="26" customFormat="1" ht="22.5">
      <c r="A28" s="33" t="s">
        <v>309</v>
      </c>
      <c r="B28" s="31">
        <v>212</v>
      </c>
      <c r="C28" s="31">
        <v>111</v>
      </c>
      <c r="D28" s="460">
        <v>0</v>
      </c>
      <c r="E28" s="468"/>
      <c r="F28" s="468"/>
      <c r="G28" s="468"/>
      <c r="H28" s="468"/>
      <c r="I28" s="46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26" customFormat="1" ht="54">
      <c r="A29" s="35" t="s">
        <v>310</v>
      </c>
      <c r="B29" s="31">
        <v>213</v>
      </c>
      <c r="C29" s="31">
        <v>112</v>
      </c>
      <c r="D29" s="460">
        <f>E29+F29+G29+H29+I29+J29+K29+L29+M29+N29+O29+P29+Q29+R29+S29+T29+U29</f>
        <v>253200</v>
      </c>
      <c r="E29" s="468">
        <v>11200</v>
      </c>
      <c r="F29" s="468"/>
      <c r="G29" s="468"/>
      <c r="H29" s="468"/>
      <c r="I29" s="469">
        <f>I23</f>
        <v>0</v>
      </c>
      <c r="J29" s="34"/>
      <c r="K29" s="34"/>
      <c r="L29" s="34"/>
      <c r="M29" s="34"/>
      <c r="N29" s="34"/>
      <c r="O29" s="34"/>
      <c r="P29" s="34"/>
      <c r="Q29" s="34">
        <f>Q23</f>
        <v>242000</v>
      </c>
      <c r="R29" s="34"/>
      <c r="S29" s="34"/>
      <c r="T29" s="34"/>
      <c r="U29" s="34"/>
    </row>
    <row r="30" spans="1:21" s="26" customFormat="1" ht="36">
      <c r="A30" s="33" t="s">
        <v>327</v>
      </c>
      <c r="B30" s="31">
        <v>260</v>
      </c>
      <c r="C30" s="31" t="s">
        <v>63</v>
      </c>
      <c r="D30" s="460">
        <f>D31</f>
        <v>52400</v>
      </c>
      <c r="E30" s="460">
        <f>E31</f>
        <v>52400</v>
      </c>
      <c r="F30" s="468"/>
      <c r="G30" s="468"/>
      <c r="H30" s="468"/>
      <c r="I30" s="46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26" customFormat="1" ht="72">
      <c r="A31" s="33" t="s">
        <v>68</v>
      </c>
      <c r="B31" s="31">
        <v>263</v>
      </c>
      <c r="C31" s="31">
        <v>244</v>
      </c>
      <c r="D31" s="460">
        <f>E31+F31+G31+H31+I31+J31+K31+L31+M31+N31+O31+P31+Q31+R31+S31+T31+U31</f>
        <v>52400</v>
      </c>
      <c r="E31" s="468">
        <f>E32</f>
        <v>52400</v>
      </c>
      <c r="F31" s="468"/>
      <c r="G31" s="468"/>
      <c r="H31" s="468"/>
      <c r="I31" s="46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26" customFormat="1" ht="22.5">
      <c r="A32" s="33" t="s">
        <v>711</v>
      </c>
      <c r="B32" s="31">
        <v>269</v>
      </c>
      <c r="C32" s="31">
        <v>244</v>
      </c>
      <c r="D32" s="460">
        <f>E32+F32+G32+H32+I32+J32+K32+L32+M32+N32+O32+P32+Q32+R32+S32+T32+U32</f>
        <v>52400</v>
      </c>
      <c r="E32" s="468">
        <v>52400</v>
      </c>
      <c r="F32" s="468"/>
      <c r="G32" s="468"/>
      <c r="H32" s="468"/>
      <c r="I32" s="46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26" customFormat="1" ht="34.5">
      <c r="A33" s="10" t="s">
        <v>69</v>
      </c>
      <c r="B33" s="494">
        <v>300</v>
      </c>
      <c r="C33" s="494" t="s">
        <v>63</v>
      </c>
      <c r="D33" s="460">
        <f>D34</f>
        <v>305600</v>
      </c>
      <c r="E33" s="468">
        <f>E34</f>
        <v>63600</v>
      </c>
      <c r="F33" s="468"/>
      <c r="G33" s="468"/>
      <c r="H33" s="468"/>
      <c r="I33" s="469"/>
      <c r="J33" s="34"/>
      <c r="K33" s="34"/>
      <c r="L33" s="34"/>
      <c r="M33" s="34"/>
      <c r="N33" s="34"/>
      <c r="O33" s="34"/>
      <c r="P33" s="34"/>
      <c r="Q33" s="34">
        <f>Q34</f>
        <v>242000</v>
      </c>
      <c r="R33" s="34"/>
      <c r="S33" s="34"/>
      <c r="T33" s="34"/>
      <c r="U33" s="34"/>
    </row>
    <row r="34" spans="1:21" s="26" customFormat="1" ht="36">
      <c r="A34" s="2" t="s">
        <v>339</v>
      </c>
      <c r="B34" s="495">
        <v>310</v>
      </c>
      <c r="C34" s="495">
        <v>510</v>
      </c>
      <c r="D34" s="460">
        <f>E34+Q34</f>
        <v>305600</v>
      </c>
      <c r="E34" s="468">
        <v>63600</v>
      </c>
      <c r="F34" s="468"/>
      <c r="G34" s="468"/>
      <c r="H34" s="468"/>
      <c r="I34" s="469"/>
      <c r="J34" s="34"/>
      <c r="K34" s="34"/>
      <c r="L34" s="34"/>
      <c r="M34" s="34"/>
      <c r="N34" s="34"/>
      <c r="O34" s="34"/>
      <c r="P34" s="34"/>
      <c r="Q34" s="34">
        <v>242000</v>
      </c>
      <c r="R34" s="34"/>
      <c r="S34" s="34"/>
      <c r="T34" s="34"/>
      <c r="U34" s="34"/>
    </row>
    <row r="35" spans="1:21" s="26" customFormat="1" ht="34.5">
      <c r="A35" s="10" t="s">
        <v>70</v>
      </c>
      <c r="B35" s="494">
        <v>400</v>
      </c>
      <c r="C35" s="494"/>
      <c r="D35" s="460">
        <f>D36</f>
        <v>305600</v>
      </c>
      <c r="E35" s="468">
        <f>E36</f>
        <v>63600</v>
      </c>
      <c r="F35" s="468"/>
      <c r="G35" s="468"/>
      <c r="H35" s="468"/>
      <c r="I35" s="469"/>
      <c r="J35" s="34"/>
      <c r="K35" s="34"/>
      <c r="L35" s="34"/>
      <c r="M35" s="34"/>
      <c r="N35" s="34"/>
      <c r="O35" s="34"/>
      <c r="P35" s="34"/>
      <c r="Q35" s="34">
        <f>Q36</f>
        <v>242000</v>
      </c>
      <c r="R35" s="34"/>
      <c r="S35" s="34"/>
      <c r="T35" s="34"/>
      <c r="U35" s="34"/>
    </row>
    <row r="36" spans="1:21" s="26" customFormat="1" ht="36">
      <c r="A36" s="2" t="s">
        <v>341</v>
      </c>
      <c r="B36" s="495">
        <v>410</v>
      </c>
      <c r="C36" s="495">
        <v>610</v>
      </c>
      <c r="D36" s="460">
        <f>E36+Q36</f>
        <v>305600</v>
      </c>
      <c r="E36" s="468">
        <v>63600</v>
      </c>
      <c r="F36" s="468"/>
      <c r="G36" s="468"/>
      <c r="H36" s="468"/>
      <c r="I36" s="469"/>
      <c r="J36" s="34"/>
      <c r="K36" s="34"/>
      <c r="L36" s="34"/>
      <c r="M36" s="34"/>
      <c r="N36" s="34"/>
      <c r="O36" s="34"/>
      <c r="P36" s="34"/>
      <c r="Q36" s="34">
        <v>242000</v>
      </c>
      <c r="R36" s="34"/>
      <c r="S36" s="34"/>
      <c r="T36" s="34"/>
      <c r="U36" s="34"/>
    </row>
    <row r="37" spans="1:21" ht="38.25" customHeight="1">
      <c r="A37" s="10" t="s">
        <v>71</v>
      </c>
      <c r="B37" s="454">
        <v>500</v>
      </c>
      <c r="C37" s="454" t="s">
        <v>63</v>
      </c>
      <c r="D37" s="28">
        <v>0</v>
      </c>
      <c r="E37" s="28">
        <v>0</v>
      </c>
      <c r="F37" s="28"/>
      <c r="G37" s="28">
        <v>0</v>
      </c>
      <c r="H37" s="28">
        <v>0</v>
      </c>
      <c r="I37" s="28">
        <v>0</v>
      </c>
      <c r="J37" s="28"/>
      <c r="K37" s="28"/>
      <c r="L37" s="28"/>
      <c r="M37" s="28"/>
      <c r="N37" s="28"/>
      <c r="O37" s="28"/>
      <c r="P37" s="28"/>
      <c r="Q37" s="28">
        <v>0</v>
      </c>
      <c r="R37" s="28"/>
      <c r="S37" s="28"/>
      <c r="T37" s="28"/>
      <c r="U37" s="28">
        <v>0</v>
      </c>
    </row>
    <row r="38" spans="1:22" ht="18">
      <c r="A38" s="189" t="s">
        <v>358</v>
      </c>
      <c r="B38" s="189"/>
      <c r="C38" s="189"/>
      <c r="D38" s="18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ht="23.25" customHeight="1">
      <c r="A39" s="20"/>
    </row>
    <row r="42" spans="1:7" s="3" customFormat="1" ht="18">
      <c r="A42" s="3" t="s">
        <v>245</v>
      </c>
      <c r="D42" s="3" t="s">
        <v>390</v>
      </c>
      <c r="G42" s="3" t="s">
        <v>591</v>
      </c>
    </row>
    <row r="43" spans="1:7" s="3" customFormat="1" ht="18">
      <c r="A43" s="3" t="s">
        <v>128</v>
      </c>
      <c r="D43" s="3" t="s">
        <v>29</v>
      </c>
      <c r="G43" s="3" t="s">
        <v>687</v>
      </c>
    </row>
    <row r="44" s="3" customFormat="1" ht="18">
      <c r="D44" s="61"/>
    </row>
    <row r="45" spans="1:7" s="3" customFormat="1" ht="18">
      <c r="A45" s="3" t="s">
        <v>589</v>
      </c>
      <c r="D45" s="61" t="s">
        <v>390</v>
      </c>
      <c r="G45" s="3" t="s">
        <v>753</v>
      </c>
    </row>
    <row r="46" spans="1:7" s="3" customFormat="1" ht="18">
      <c r="A46" s="3" t="s">
        <v>128</v>
      </c>
      <c r="D46" s="3" t="s">
        <v>29</v>
      </c>
      <c r="G46" s="3" t="s">
        <v>127</v>
      </c>
    </row>
    <row r="47" s="3" customFormat="1" ht="18">
      <c r="D47" s="61"/>
    </row>
    <row r="48" s="3" customFormat="1" ht="18">
      <c r="A48" s="3" t="s">
        <v>392</v>
      </c>
    </row>
    <row r="49" s="3" customFormat="1" ht="18">
      <c r="D49" s="61"/>
    </row>
    <row r="50" s="3" customFormat="1" ht="18">
      <c r="D50" s="61"/>
    </row>
  </sheetData>
  <sheetProtection/>
  <mergeCells count="26">
    <mergeCell ref="D8:G8"/>
    <mergeCell ref="A9:A18"/>
    <mergeCell ref="B9:B18"/>
    <mergeCell ref="C9:C18"/>
    <mergeCell ref="D10:D18"/>
    <mergeCell ref="E11:E18"/>
    <mergeCell ref="D9:U9"/>
    <mergeCell ref="E10:U10"/>
    <mergeCell ref="P11:P18"/>
    <mergeCell ref="F11:F18"/>
    <mergeCell ref="G11:G18"/>
    <mergeCell ref="H11:H18"/>
    <mergeCell ref="I11:I18"/>
    <mergeCell ref="A4:V4"/>
    <mergeCell ref="A7:V7"/>
    <mergeCell ref="J11:J18"/>
    <mergeCell ref="Q11:Q18"/>
    <mergeCell ref="R11:R18"/>
    <mergeCell ref="S11:S18"/>
    <mergeCell ref="T11:T18"/>
    <mergeCell ref="U11:U18"/>
    <mergeCell ref="K11:K18"/>
    <mergeCell ref="L11:L18"/>
    <mergeCell ref="M11:M18"/>
    <mergeCell ref="N11:N18"/>
    <mergeCell ref="O11:O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46"/>
  <sheetViews>
    <sheetView view="pageBreakPreview" zoomScale="50" zoomScaleSheetLayoutView="50" workbookViewId="0" topLeftCell="A26">
      <selection activeCell="G41" sqref="G41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9.421875" style="6" customWidth="1"/>
    <col min="4" max="4" width="26.28125" style="25" customWidth="1"/>
    <col min="5" max="5" width="22.7109375" style="6" customWidth="1"/>
    <col min="6" max="6" width="22.57421875" style="6" customWidth="1"/>
    <col min="7" max="7" width="22.8515625" style="6" customWidth="1"/>
    <col min="8" max="8" width="17.28125" style="6" customWidth="1"/>
    <col min="9" max="9" width="18.421875" style="6" customWidth="1"/>
    <col min="10" max="10" width="16.57421875" style="6" customWidth="1"/>
    <col min="11" max="11" width="16.8515625" style="6" customWidth="1"/>
    <col min="12" max="12" width="16.57421875" style="6" customWidth="1"/>
    <col min="13" max="13" width="15.7109375" style="6" customWidth="1"/>
    <col min="14" max="14" width="20.8515625" style="6" customWidth="1"/>
    <col min="15" max="15" width="15.140625" style="6" customWidth="1"/>
    <col min="16" max="16" width="17.140625" style="6" customWidth="1"/>
    <col min="17" max="17" width="27.7109375" style="6" customWidth="1"/>
    <col min="18" max="18" width="19.7109375" style="6" customWidth="1"/>
    <col min="19" max="19" width="17.421875" style="6" customWidth="1"/>
    <col min="20" max="20" width="18.28125" style="6" customWidth="1"/>
    <col min="21" max="21" width="30.8515625" style="6" customWidth="1"/>
    <col min="22" max="16384" width="9.140625" style="6" customWidth="1"/>
  </cols>
  <sheetData>
    <row r="1" spans="1:21" ht="18">
      <c r="A1" s="14"/>
      <c r="D1" s="6"/>
      <c r="P1" s="11"/>
      <c r="U1" s="11" t="s">
        <v>362</v>
      </c>
    </row>
    <row r="2" ht="14.25">
      <c r="A2" s="19"/>
    </row>
    <row r="3" spans="1:16" ht="14.25">
      <c r="A3" s="20"/>
      <c r="P3" s="6" t="s">
        <v>12</v>
      </c>
    </row>
    <row r="4" spans="1:22" ht="20.25">
      <c r="A4" s="596" t="s">
        <v>96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</row>
    <row r="5" spans="1:22" ht="20.25">
      <c r="A5" s="485"/>
      <c r="B5" s="485"/>
      <c r="C5" s="485"/>
      <c r="D5" s="487"/>
      <c r="E5" s="502" t="s">
        <v>738</v>
      </c>
      <c r="F5" s="482"/>
      <c r="G5" s="487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</row>
    <row r="6" spans="1:22" ht="18">
      <c r="A6" s="485"/>
      <c r="B6" s="485"/>
      <c r="C6" s="485"/>
      <c r="D6" s="485"/>
      <c r="F6" s="483"/>
      <c r="G6" s="485"/>
      <c r="H6" s="483" t="s">
        <v>344</v>
      </c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</row>
    <row r="7" spans="1:22" ht="21">
      <c r="A7" s="606" t="s">
        <v>737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</row>
    <row r="8" spans="1:22" ht="17.25" customHeight="1">
      <c r="A8" s="20"/>
      <c r="D8" s="575"/>
      <c r="E8" s="575"/>
      <c r="F8" s="575"/>
      <c r="G8" s="575"/>
      <c r="V8" s="41"/>
    </row>
    <row r="9" spans="1:22" ht="18.75" customHeight="1">
      <c r="A9" s="599" t="s">
        <v>20</v>
      </c>
      <c r="B9" s="600" t="s">
        <v>56</v>
      </c>
      <c r="C9" s="601" t="s">
        <v>72</v>
      </c>
      <c r="D9" s="579" t="s">
        <v>74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03"/>
    </row>
    <row r="10" spans="1:22" ht="21">
      <c r="A10" s="599"/>
      <c r="B10" s="600"/>
      <c r="C10" s="602"/>
      <c r="D10" s="604" t="s">
        <v>363</v>
      </c>
      <c r="E10" s="605" t="s">
        <v>21</v>
      </c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504"/>
    </row>
    <row r="11" spans="1:22" ht="15" customHeight="1">
      <c r="A11" s="599"/>
      <c r="B11" s="600"/>
      <c r="C11" s="602"/>
      <c r="D11" s="604"/>
      <c r="E11" s="589" t="s">
        <v>373</v>
      </c>
      <c r="F11" s="589" t="s">
        <v>374</v>
      </c>
      <c r="G11" s="595" t="s">
        <v>375</v>
      </c>
      <c r="H11" s="595" t="s">
        <v>376</v>
      </c>
      <c r="I11" s="592" t="s">
        <v>377</v>
      </c>
      <c r="J11" s="592" t="s">
        <v>378</v>
      </c>
      <c r="K11" s="592" t="s">
        <v>379</v>
      </c>
      <c r="L11" s="592" t="s">
        <v>380</v>
      </c>
      <c r="M11" s="592" t="s">
        <v>381</v>
      </c>
      <c r="N11" s="592" t="s">
        <v>382</v>
      </c>
      <c r="O11" s="592" t="s">
        <v>383</v>
      </c>
      <c r="P11" s="592" t="s">
        <v>384</v>
      </c>
      <c r="Q11" s="592" t="s">
        <v>429</v>
      </c>
      <c r="R11" s="589" t="s">
        <v>683</v>
      </c>
      <c r="S11" s="589" t="s">
        <v>684</v>
      </c>
      <c r="T11" s="589" t="s">
        <v>685</v>
      </c>
      <c r="U11" s="605" t="s">
        <v>686</v>
      </c>
      <c r="V11" s="505"/>
    </row>
    <row r="12" spans="1:22" ht="15" customHeight="1">
      <c r="A12" s="599"/>
      <c r="B12" s="600"/>
      <c r="C12" s="602"/>
      <c r="D12" s="604"/>
      <c r="E12" s="590"/>
      <c r="F12" s="590"/>
      <c r="G12" s="590"/>
      <c r="H12" s="590"/>
      <c r="I12" s="593"/>
      <c r="J12" s="593"/>
      <c r="K12" s="593"/>
      <c r="L12" s="593"/>
      <c r="M12" s="593"/>
      <c r="N12" s="593"/>
      <c r="O12" s="593"/>
      <c r="P12" s="593"/>
      <c r="Q12" s="593"/>
      <c r="R12" s="597"/>
      <c r="S12" s="597"/>
      <c r="T12" s="597"/>
      <c r="U12" s="605"/>
      <c r="V12" s="505"/>
    </row>
    <row r="13" spans="1:22" ht="15" customHeight="1">
      <c r="A13" s="599"/>
      <c r="B13" s="600"/>
      <c r="C13" s="602"/>
      <c r="D13" s="604"/>
      <c r="E13" s="590"/>
      <c r="F13" s="590"/>
      <c r="G13" s="590"/>
      <c r="H13" s="590"/>
      <c r="I13" s="593"/>
      <c r="J13" s="593"/>
      <c r="K13" s="593"/>
      <c r="L13" s="593"/>
      <c r="M13" s="593"/>
      <c r="N13" s="593"/>
      <c r="O13" s="593"/>
      <c r="P13" s="593"/>
      <c r="Q13" s="593"/>
      <c r="R13" s="597"/>
      <c r="S13" s="597"/>
      <c r="T13" s="597"/>
      <c r="U13" s="605"/>
      <c r="V13" s="505"/>
    </row>
    <row r="14" spans="1:22" ht="15" customHeight="1">
      <c r="A14" s="599"/>
      <c r="B14" s="600"/>
      <c r="C14" s="602"/>
      <c r="D14" s="604"/>
      <c r="E14" s="590"/>
      <c r="F14" s="590"/>
      <c r="G14" s="590"/>
      <c r="H14" s="590"/>
      <c r="I14" s="593"/>
      <c r="J14" s="593"/>
      <c r="K14" s="593"/>
      <c r="L14" s="593"/>
      <c r="M14" s="593"/>
      <c r="N14" s="593"/>
      <c r="O14" s="593"/>
      <c r="P14" s="593"/>
      <c r="Q14" s="593"/>
      <c r="R14" s="597"/>
      <c r="S14" s="597"/>
      <c r="T14" s="597"/>
      <c r="U14" s="605"/>
      <c r="V14" s="283"/>
    </row>
    <row r="15" spans="1:22" ht="15" customHeight="1">
      <c r="A15" s="599"/>
      <c r="B15" s="600"/>
      <c r="C15" s="602"/>
      <c r="D15" s="604"/>
      <c r="E15" s="590"/>
      <c r="F15" s="590"/>
      <c r="G15" s="590"/>
      <c r="H15" s="590"/>
      <c r="I15" s="593"/>
      <c r="J15" s="593"/>
      <c r="K15" s="593"/>
      <c r="L15" s="593"/>
      <c r="M15" s="593"/>
      <c r="N15" s="593"/>
      <c r="O15" s="593"/>
      <c r="P15" s="593"/>
      <c r="Q15" s="593"/>
      <c r="R15" s="597"/>
      <c r="S15" s="597"/>
      <c r="T15" s="597"/>
      <c r="U15" s="605"/>
      <c r="V15" s="283"/>
    </row>
    <row r="16" spans="1:22" ht="15" customHeight="1">
      <c r="A16" s="599"/>
      <c r="B16" s="600"/>
      <c r="C16" s="602"/>
      <c r="D16" s="604"/>
      <c r="E16" s="590"/>
      <c r="F16" s="590"/>
      <c r="G16" s="590"/>
      <c r="H16" s="590"/>
      <c r="I16" s="593"/>
      <c r="J16" s="593"/>
      <c r="K16" s="593"/>
      <c r="L16" s="593"/>
      <c r="M16" s="593"/>
      <c r="N16" s="593"/>
      <c r="O16" s="593"/>
      <c r="P16" s="593"/>
      <c r="Q16" s="593"/>
      <c r="R16" s="597"/>
      <c r="S16" s="597"/>
      <c r="T16" s="597"/>
      <c r="U16" s="605"/>
      <c r="V16" s="283"/>
    </row>
    <row r="17" spans="1:22" ht="33.75" customHeight="1">
      <c r="A17" s="599"/>
      <c r="B17" s="600"/>
      <c r="C17" s="602"/>
      <c r="D17" s="604"/>
      <c r="E17" s="590"/>
      <c r="F17" s="590"/>
      <c r="G17" s="590"/>
      <c r="H17" s="590"/>
      <c r="I17" s="593"/>
      <c r="J17" s="593"/>
      <c r="K17" s="593"/>
      <c r="L17" s="593"/>
      <c r="M17" s="593"/>
      <c r="N17" s="593"/>
      <c r="O17" s="593"/>
      <c r="P17" s="593"/>
      <c r="Q17" s="593"/>
      <c r="R17" s="597"/>
      <c r="S17" s="597"/>
      <c r="T17" s="597"/>
      <c r="U17" s="605"/>
      <c r="V17" s="283"/>
    </row>
    <row r="18" spans="1:22" ht="373.5" customHeight="1">
      <c r="A18" s="599"/>
      <c r="B18" s="600"/>
      <c r="C18" s="603"/>
      <c r="D18" s="604"/>
      <c r="E18" s="591"/>
      <c r="F18" s="591"/>
      <c r="G18" s="591"/>
      <c r="H18" s="591"/>
      <c r="I18" s="594"/>
      <c r="J18" s="594"/>
      <c r="K18" s="594"/>
      <c r="L18" s="594"/>
      <c r="M18" s="594"/>
      <c r="N18" s="594"/>
      <c r="O18" s="594"/>
      <c r="P18" s="594"/>
      <c r="Q18" s="594"/>
      <c r="R18" s="598"/>
      <c r="S18" s="598"/>
      <c r="T18" s="598"/>
      <c r="U18" s="605"/>
      <c r="V18" s="283"/>
    </row>
    <row r="19" spans="1:21" s="153" customFormat="1" ht="18">
      <c r="A19" s="486">
        <v>1</v>
      </c>
      <c r="B19" s="486">
        <v>2</v>
      </c>
      <c r="C19" s="486">
        <v>3</v>
      </c>
      <c r="D19" s="486">
        <v>4</v>
      </c>
      <c r="E19" s="486">
        <v>5</v>
      </c>
      <c r="F19" s="486">
        <v>6</v>
      </c>
      <c r="G19" s="486">
        <v>7</v>
      </c>
      <c r="H19" s="486">
        <v>8</v>
      </c>
      <c r="I19" s="486">
        <v>9</v>
      </c>
      <c r="J19" s="486">
        <v>10</v>
      </c>
      <c r="K19" s="486">
        <v>11</v>
      </c>
      <c r="L19" s="486">
        <v>12</v>
      </c>
      <c r="M19" s="486">
        <v>13</v>
      </c>
      <c r="N19" s="486">
        <v>14</v>
      </c>
      <c r="O19" s="486">
        <v>15</v>
      </c>
      <c r="P19" s="486">
        <v>16</v>
      </c>
      <c r="Q19" s="486">
        <v>17</v>
      </c>
      <c r="R19" s="486">
        <v>18</v>
      </c>
      <c r="S19" s="486">
        <v>19</v>
      </c>
      <c r="T19" s="486">
        <v>20</v>
      </c>
      <c r="U19" s="486">
        <v>21</v>
      </c>
    </row>
    <row r="20" spans="1:21" s="25" customFormat="1" ht="34.5">
      <c r="A20" s="10" t="s">
        <v>79</v>
      </c>
      <c r="B20" s="27" t="s">
        <v>81</v>
      </c>
      <c r="C20" s="484" t="s">
        <v>60</v>
      </c>
      <c r="D20" s="28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54" customHeight="1">
      <c r="A21" s="10" t="s">
        <v>84</v>
      </c>
      <c r="B21" s="484">
        <v>100</v>
      </c>
      <c r="C21" s="484" t="s">
        <v>63</v>
      </c>
      <c r="D21" s="460">
        <f>D23</f>
        <v>278600</v>
      </c>
      <c r="E21" s="461">
        <f>E23</f>
        <v>36600</v>
      </c>
      <c r="F21" s="461">
        <v>0</v>
      </c>
      <c r="G21" s="461">
        <v>0</v>
      </c>
      <c r="H21" s="461">
        <v>0</v>
      </c>
      <c r="I21" s="460">
        <f>I23</f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f>Q23</f>
        <v>242000</v>
      </c>
      <c r="R21" s="28"/>
      <c r="S21" s="28"/>
      <c r="T21" s="28"/>
      <c r="U21" s="28">
        <v>0</v>
      </c>
    </row>
    <row r="22" spans="1:21" ht="54" hidden="1">
      <c r="A22" s="2" t="s">
        <v>61</v>
      </c>
      <c r="B22" s="22" t="s">
        <v>82</v>
      </c>
      <c r="C22" s="486">
        <v>180</v>
      </c>
      <c r="D22" s="461">
        <v>0</v>
      </c>
      <c r="E22" s="462"/>
      <c r="F22" s="462"/>
      <c r="G22" s="462"/>
      <c r="H22" s="462"/>
      <c r="I22" s="46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36">
      <c r="A23" s="2" t="s">
        <v>89</v>
      </c>
      <c r="B23" s="486">
        <v>150</v>
      </c>
      <c r="C23" s="486">
        <v>180</v>
      </c>
      <c r="D23" s="460">
        <f>E23+F23+G23+H23+I23+J23+K23+L23+M23+N23+O23+P23+Q23+R23+S23+T23+U23</f>
        <v>278600</v>
      </c>
      <c r="E23" s="473">
        <v>36600</v>
      </c>
      <c r="F23" s="464"/>
      <c r="G23" s="464"/>
      <c r="H23" s="464"/>
      <c r="I23" s="474"/>
      <c r="J23" s="486"/>
      <c r="K23" s="486"/>
      <c r="L23" s="486"/>
      <c r="M23" s="486"/>
      <c r="N23" s="486"/>
      <c r="O23" s="486"/>
      <c r="P23" s="486"/>
      <c r="Q23" s="28">
        <v>242000</v>
      </c>
      <c r="R23" s="486"/>
      <c r="S23" s="486"/>
      <c r="T23" s="486"/>
      <c r="U23" s="486"/>
    </row>
    <row r="24" spans="1:21" ht="26.25" customHeight="1" hidden="1">
      <c r="A24" s="2"/>
      <c r="B24" s="486"/>
      <c r="C24" s="486"/>
      <c r="D24" s="460"/>
      <c r="E24" s="464"/>
      <c r="F24" s="464"/>
      <c r="G24" s="464"/>
      <c r="H24" s="464"/>
      <c r="I24" s="465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</row>
    <row r="25" spans="1:21" s="26" customFormat="1" ht="39" customHeight="1">
      <c r="A25" s="30" t="s">
        <v>64</v>
      </c>
      <c r="B25" s="31">
        <v>200</v>
      </c>
      <c r="C25" s="31" t="s">
        <v>63</v>
      </c>
      <c r="D25" s="460">
        <f>D26+D31</f>
        <v>278600</v>
      </c>
      <c r="E25" s="460">
        <f>E26+E31</f>
        <v>36600</v>
      </c>
      <c r="F25" s="466"/>
      <c r="G25" s="466">
        <v>0</v>
      </c>
      <c r="H25" s="466">
        <v>0</v>
      </c>
      <c r="I25" s="467">
        <f>I21</f>
        <v>0</v>
      </c>
      <c r="J25" s="32"/>
      <c r="K25" s="32"/>
      <c r="L25" s="32"/>
      <c r="M25" s="32"/>
      <c r="N25" s="32"/>
      <c r="O25" s="32"/>
      <c r="P25" s="32"/>
      <c r="Q25" s="32">
        <f>Q26</f>
        <v>242000</v>
      </c>
      <c r="R25" s="32"/>
      <c r="S25" s="32"/>
      <c r="T25" s="32"/>
      <c r="U25" s="32">
        <v>0</v>
      </c>
    </row>
    <row r="26" spans="1:21" s="26" customFormat="1" ht="72.75" customHeight="1">
      <c r="A26" s="33" t="s">
        <v>307</v>
      </c>
      <c r="B26" s="31">
        <v>210</v>
      </c>
      <c r="C26" s="31">
        <v>100</v>
      </c>
      <c r="D26" s="460">
        <f>D29</f>
        <v>242000</v>
      </c>
      <c r="E26" s="460">
        <f>E29</f>
        <v>0</v>
      </c>
      <c r="F26" s="468"/>
      <c r="G26" s="468">
        <v>0</v>
      </c>
      <c r="H26" s="468">
        <v>0</v>
      </c>
      <c r="I26" s="469">
        <f>I23</f>
        <v>0</v>
      </c>
      <c r="J26" s="34"/>
      <c r="K26" s="34"/>
      <c r="L26" s="34"/>
      <c r="M26" s="34"/>
      <c r="N26" s="34"/>
      <c r="O26" s="34"/>
      <c r="P26" s="34"/>
      <c r="Q26" s="34">
        <f>Q29</f>
        <v>242000</v>
      </c>
      <c r="R26" s="34"/>
      <c r="S26" s="34"/>
      <c r="T26" s="34"/>
      <c r="U26" s="34">
        <v>0</v>
      </c>
    </row>
    <row r="27" spans="1:21" s="26" customFormat="1" ht="54" hidden="1">
      <c r="A27" s="33" t="s">
        <v>308</v>
      </c>
      <c r="B27" s="31">
        <v>211</v>
      </c>
      <c r="C27" s="31">
        <v>111.119</v>
      </c>
      <c r="D27" s="460">
        <v>0</v>
      </c>
      <c r="E27" s="468">
        <v>0</v>
      </c>
      <c r="F27" s="468"/>
      <c r="G27" s="468">
        <v>0</v>
      </c>
      <c r="H27" s="468">
        <v>0</v>
      </c>
      <c r="I27" s="469"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>
        <v>0</v>
      </c>
    </row>
    <row r="28" spans="1:21" s="26" customFormat="1" ht="22.5" hidden="1">
      <c r="A28" s="33" t="s">
        <v>309</v>
      </c>
      <c r="B28" s="31">
        <v>212</v>
      </c>
      <c r="C28" s="31">
        <v>111</v>
      </c>
      <c r="D28" s="460">
        <v>0</v>
      </c>
      <c r="E28" s="468"/>
      <c r="F28" s="468"/>
      <c r="G28" s="468"/>
      <c r="H28" s="468"/>
      <c r="I28" s="46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26" customFormat="1" ht="54">
      <c r="A29" s="35" t="s">
        <v>310</v>
      </c>
      <c r="B29" s="31">
        <v>213</v>
      </c>
      <c r="C29" s="31">
        <v>112</v>
      </c>
      <c r="D29" s="460">
        <f>E29+F29+G29+H29+I29+J29+K29+L29+M29+N29+O29+P29+Q29+R29+S29+T29+U29</f>
        <v>242000</v>
      </c>
      <c r="E29" s="468"/>
      <c r="F29" s="468"/>
      <c r="G29" s="468"/>
      <c r="H29" s="468"/>
      <c r="I29" s="469">
        <f>I23</f>
        <v>0</v>
      </c>
      <c r="J29" s="34"/>
      <c r="K29" s="34"/>
      <c r="L29" s="34"/>
      <c r="M29" s="34"/>
      <c r="N29" s="34"/>
      <c r="O29" s="34"/>
      <c r="P29" s="34"/>
      <c r="Q29" s="34">
        <f>Q23</f>
        <v>242000</v>
      </c>
      <c r="R29" s="34"/>
      <c r="S29" s="34"/>
      <c r="T29" s="34"/>
      <c r="U29" s="34"/>
    </row>
    <row r="30" spans="1:21" s="26" customFormat="1" ht="36">
      <c r="A30" s="33" t="s">
        <v>327</v>
      </c>
      <c r="B30" s="31">
        <v>260</v>
      </c>
      <c r="C30" s="31" t="s">
        <v>63</v>
      </c>
      <c r="D30" s="460">
        <f>D31</f>
        <v>36600</v>
      </c>
      <c r="E30" s="460">
        <f>E31</f>
        <v>36600</v>
      </c>
      <c r="F30" s="468"/>
      <c r="G30" s="468"/>
      <c r="H30" s="468"/>
      <c r="I30" s="46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26" customFormat="1" ht="72">
      <c r="A31" s="33" t="s">
        <v>68</v>
      </c>
      <c r="B31" s="31">
        <v>263</v>
      </c>
      <c r="C31" s="31">
        <v>244</v>
      </c>
      <c r="D31" s="460">
        <f>E31+F31+G31+H31+I31+J31+K31+L31+M31+N31+O31+P31+Q31+R31+S31+T31+U31</f>
        <v>36600</v>
      </c>
      <c r="E31" s="468">
        <f>E32</f>
        <v>36600</v>
      </c>
      <c r="F31" s="468"/>
      <c r="G31" s="468"/>
      <c r="H31" s="468"/>
      <c r="I31" s="46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26" customFormat="1" ht="22.5">
      <c r="A32" s="33" t="s">
        <v>711</v>
      </c>
      <c r="B32" s="31">
        <v>269</v>
      </c>
      <c r="C32" s="31">
        <v>244</v>
      </c>
      <c r="D32" s="460">
        <f>E32+F32+G32+H32+I32+J32+K32+L32+M32+N32+O32+P32+Q32+R32+S32+T32+U32</f>
        <v>36600</v>
      </c>
      <c r="E32" s="468">
        <v>36600</v>
      </c>
      <c r="F32" s="468"/>
      <c r="G32" s="468"/>
      <c r="H32" s="468"/>
      <c r="I32" s="46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26" customFormat="1" ht="34.5">
      <c r="A33" s="10" t="s">
        <v>69</v>
      </c>
      <c r="B33" s="494">
        <v>300</v>
      </c>
      <c r="C33" s="494" t="s">
        <v>63</v>
      </c>
      <c r="D33" s="460">
        <f>D34</f>
        <v>278600</v>
      </c>
      <c r="E33" s="468">
        <f>E34</f>
        <v>36600</v>
      </c>
      <c r="F33" s="468"/>
      <c r="G33" s="468"/>
      <c r="H33" s="468"/>
      <c r="I33" s="469"/>
      <c r="J33" s="34"/>
      <c r="K33" s="34"/>
      <c r="L33" s="34"/>
      <c r="M33" s="34"/>
      <c r="N33" s="34"/>
      <c r="O33" s="34"/>
      <c r="P33" s="34"/>
      <c r="Q33" s="34">
        <f>Q34</f>
        <v>242000</v>
      </c>
      <c r="R33" s="34"/>
      <c r="S33" s="34"/>
      <c r="T33" s="34"/>
      <c r="U33" s="34"/>
    </row>
    <row r="34" spans="1:21" s="26" customFormat="1" ht="36">
      <c r="A34" s="2" t="s">
        <v>339</v>
      </c>
      <c r="B34" s="495">
        <v>310</v>
      </c>
      <c r="C34" s="495">
        <v>510</v>
      </c>
      <c r="D34" s="460">
        <f>E34+Q34</f>
        <v>278600</v>
      </c>
      <c r="E34" s="468">
        <v>36600</v>
      </c>
      <c r="F34" s="468"/>
      <c r="G34" s="468"/>
      <c r="H34" s="468"/>
      <c r="I34" s="469"/>
      <c r="J34" s="34"/>
      <c r="K34" s="34"/>
      <c r="L34" s="34"/>
      <c r="M34" s="34"/>
      <c r="N34" s="34"/>
      <c r="O34" s="34"/>
      <c r="P34" s="34"/>
      <c r="Q34" s="34">
        <v>242000</v>
      </c>
      <c r="R34" s="34"/>
      <c r="S34" s="34"/>
      <c r="T34" s="34"/>
      <c r="U34" s="34"/>
    </row>
    <row r="35" spans="1:21" s="26" customFormat="1" ht="34.5">
      <c r="A35" s="10" t="s">
        <v>70</v>
      </c>
      <c r="B35" s="494">
        <v>400</v>
      </c>
      <c r="C35" s="494"/>
      <c r="D35" s="460">
        <f>D36</f>
        <v>278600</v>
      </c>
      <c r="E35" s="468">
        <f>E36</f>
        <v>36600</v>
      </c>
      <c r="F35" s="468"/>
      <c r="G35" s="468"/>
      <c r="H35" s="468"/>
      <c r="I35" s="469"/>
      <c r="J35" s="34"/>
      <c r="K35" s="34"/>
      <c r="L35" s="34"/>
      <c r="M35" s="34"/>
      <c r="N35" s="34"/>
      <c r="O35" s="34"/>
      <c r="P35" s="34"/>
      <c r="Q35" s="34">
        <f>Q36</f>
        <v>242000</v>
      </c>
      <c r="R35" s="34"/>
      <c r="S35" s="34"/>
      <c r="T35" s="34"/>
      <c r="U35" s="34"/>
    </row>
    <row r="36" spans="1:21" s="26" customFormat="1" ht="36">
      <c r="A36" s="2" t="s">
        <v>341</v>
      </c>
      <c r="B36" s="495">
        <v>410</v>
      </c>
      <c r="C36" s="495">
        <v>610</v>
      </c>
      <c r="D36" s="460">
        <f>E36+Q36</f>
        <v>278600</v>
      </c>
      <c r="E36" s="468">
        <v>36600</v>
      </c>
      <c r="F36" s="468"/>
      <c r="G36" s="468"/>
      <c r="H36" s="468"/>
      <c r="I36" s="469"/>
      <c r="J36" s="34"/>
      <c r="K36" s="34"/>
      <c r="L36" s="34"/>
      <c r="M36" s="34"/>
      <c r="N36" s="34"/>
      <c r="O36" s="34"/>
      <c r="P36" s="34"/>
      <c r="Q36" s="34">
        <v>242000</v>
      </c>
      <c r="R36" s="34"/>
      <c r="S36" s="34"/>
      <c r="T36" s="34"/>
      <c r="U36" s="34"/>
    </row>
    <row r="37" spans="1:21" ht="38.25" customHeight="1">
      <c r="A37" s="10" t="s">
        <v>71</v>
      </c>
      <c r="B37" s="494">
        <v>500</v>
      </c>
      <c r="C37" s="494" t="s">
        <v>63</v>
      </c>
      <c r="D37" s="28">
        <v>0</v>
      </c>
      <c r="E37" s="28">
        <v>0</v>
      </c>
      <c r="F37" s="28"/>
      <c r="G37" s="28">
        <v>0</v>
      </c>
      <c r="H37" s="28">
        <v>0</v>
      </c>
      <c r="I37" s="28">
        <v>0</v>
      </c>
      <c r="J37" s="28"/>
      <c r="K37" s="28"/>
      <c r="L37" s="28"/>
      <c r="M37" s="28"/>
      <c r="N37" s="28"/>
      <c r="O37" s="28"/>
      <c r="P37" s="28"/>
      <c r="Q37" s="28">
        <v>0</v>
      </c>
      <c r="R37" s="28"/>
      <c r="S37" s="28"/>
      <c r="T37" s="28"/>
      <c r="U37" s="28">
        <v>0</v>
      </c>
    </row>
    <row r="38" spans="1:22" ht="18">
      <c r="A38" s="189" t="s">
        <v>358</v>
      </c>
      <c r="B38" s="189"/>
      <c r="C38" s="189"/>
      <c r="D38" s="18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ht="23.25" customHeight="1">
      <c r="A39" s="20"/>
    </row>
    <row r="40" spans="1:7" ht="23.25" customHeight="1">
      <c r="A40" s="45" t="s">
        <v>589</v>
      </c>
      <c r="B40" s="491" t="s">
        <v>131</v>
      </c>
      <c r="D40" s="6"/>
      <c r="G40" s="491" t="s">
        <v>753</v>
      </c>
    </row>
    <row r="41" spans="1:7" ht="18">
      <c r="A41" s="12" t="s">
        <v>600</v>
      </c>
      <c r="B41" s="488" t="s">
        <v>29</v>
      </c>
      <c r="D41" s="6"/>
      <c r="G41" s="488" t="s">
        <v>127</v>
      </c>
    </row>
    <row r="42" spans="1:7" ht="19.5" customHeight="1">
      <c r="A42" s="45" t="s">
        <v>126</v>
      </c>
      <c r="B42" s="491" t="s">
        <v>131</v>
      </c>
      <c r="D42" s="6"/>
      <c r="G42" s="491" t="s">
        <v>591</v>
      </c>
    </row>
    <row r="43" spans="1:7" ht="22.5" customHeight="1">
      <c r="A43" s="12" t="s">
        <v>601</v>
      </c>
      <c r="B43" s="488" t="s">
        <v>29</v>
      </c>
      <c r="D43" s="6"/>
      <c r="G43" s="488" t="s">
        <v>127</v>
      </c>
    </row>
    <row r="44" s="3" customFormat="1" ht="18">
      <c r="A44" s="3" t="s">
        <v>394</v>
      </c>
    </row>
    <row r="45" s="3" customFormat="1" ht="18">
      <c r="D45" s="61"/>
    </row>
    <row r="46" s="3" customFormat="1" ht="18">
      <c r="D46" s="61"/>
    </row>
  </sheetData>
  <sheetProtection/>
  <mergeCells count="26">
    <mergeCell ref="D9:U9"/>
    <mergeCell ref="E10:U10"/>
    <mergeCell ref="A4:V4"/>
    <mergeCell ref="A7:V7"/>
    <mergeCell ref="D8:G8"/>
    <mergeCell ref="A9:A18"/>
    <mergeCell ref="B9:B18"/>
    <mergeCell ref="C9:C18"/>
    <mergeCell ref="D10:D18"/>
    <mergeCell ref="E11:E18"/>
    <mergeCell ref="F11:F18"/>
    <mergeCell ref="G11:G18"/>
    <mergeCell ref="H11:H18"/>
    <mergeCell ref="I11:I18"/>
    <mergeCell ref="J11:J18"/>
    <mergeCell ref="K11:K18"/>
    <mergeCell ref="R11:R18"/>
    <mergeCell ref="S11:S18"/>
    <mergeCell ref="T11:T18"/>
    <mergeCell ref="U11:U18"/>
    <mergeCell ref="L11:L18"/>
    <mergeCell ref="M11:M18"/>
    <mergeCell ref="N11:N18"/>
    <mergeCell ref="O11:O18"/>
    <mergeCell ref="P11:P18"/>
    <mergeCell ref="Q11:Q18"/>
  </mergeCells>
  <printOptions/>
  <pageMargins left="0.28" right="0.2" top="0.44" bottom="0.48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46"/>
  <sheetViews>
    <sheetView view="pageBreakPreview" zoomScale="50" zoomScaleSheetLayoutView="50" zoomScalePageLayoutView="0" workbookViewId="0" topLeftCell="B23">
      <selection activeCell="G42" sqref="G42"/>
    </sheetView>
  </sheetViews>
  <sheetFormatPr defaultColWidth="9.140625" defaultRowHeight="15"/>
  <cols>
    <col min="1" max="1" width="37.7109375" style="6" customWidth="1"/>
    <col min="2" max="2" width="9.140625" style="6" customWidth="1"/>
    <col min="3" max="3" width="9.421875" style="6" customWidth="1"/>
    <col min="4" max="4" width="26.28125" style="25" customWidth="1"/>
    <col min="5" max="5" width="22.7109375" style="6" customWidth="1"/>
    <col min="6" max="6" width="20.57421875" style="6" customWidth="1"/>
    <col min="7" max="7" width="20.8515625" style="6" customWidth="1"/>
    <col min="8" max="8" width="20.140625" style="6" customWidth="1"/>
    <col min="9" max="9" width="18.140625" style="6" customWidth="1"/>
    <col min="10" max="10" width="14.28125" style="6" customWidth="1"/>
    <col min="11" max="11" width="17.421875" style="6" customWidth="1"/>
    <col min="12" max="12" width="16.57421875" style="6" customWidth="1"/>
    <col min="13" max="13" width="14.00390625" style="6" customWidth="1"/>
    <col min="14" max="14" width="17.421875" style="6" customWidth="1"/>
    <col min="15" max="15" width="14.8515625" style="6" customWidth="1"/>
    <col min="16" max="16" width="13.421875" style="6" customWidth="1"/>
    <col min="17" max="17" width="25.140625" style="6" customWidth="1"/>
    <col min="18" max="18" width="14.57421875" style="6" customWidth="1"/>
    <col min="19" max="19" width="15.421875" style="6" customWidth="1"/>
    <col min="20" max="20" width="17.421875" style="6" customWidth="1"/>
    <col min="21" max="21" width="20.00390625" style="6" customWidth="1"/>
    <col min="22" max="16384" width="9.140625" style="6" customWidth="1"/>
  </cols>
  <sheetData>
    <row r="1" spans="1:21" ht="18">
      <c r="A1" s="14"/>
      <c r="D1" s="6"/>
      <c r="P1" s="11"/>
      <c r="U1" s="11" t="s">
        <v>362</v>
      </c>
    </row>
    <row r="2" ht="14.25">
      <c r="A2" s="19"/>
    </row>
    <row r="3" spans="1:16" ht="14.25">
      <c r="A3" s="20"/>
      <c r="P3" s="6" t="s">
        <v>12</v>
      </c>
    </row>
    <row r="4" spans="1:22" ht="20.25">
      <c r="A4" s="596" t="s">
        <v>96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</row>
    <row r="5" spans="1:22" ht="20.25">
      <c r="A5" s="485"/>
      <c r="B5" s="485"/>
      <c r="C5" s="485"/>
      <c r="D5" s="487"/>
      <c r="E5" s="502" t="s">
        <v>739</v>
      </c>
      <c r="F5" s="482"/>
      <c r="G5" s="487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</row>
    <row r="6" spans="1:22" ht="18">
      <c r="A6" s="485"/>
      <c r="B6" s="485"/>
      <c r="C6" s="485"/>
      <c r="D6" s="485"/>
      <c r="F6" s="483"/>
      <c r="G6" s="485"/>
      <c r="H6" s="483" t="s">
        <v>344</v>
      </c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</row>
    <row r="7" spans="1:22" ht="20.25">
      <c r="A7" s="596" t="s">
        <v>736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</row>
    <row r="8" spans="1:22" ht="17.25" customHeight="1">
      <c r="A8" s="20"/>
      <c r="D8" s="575"/>
      <c r="E8" s="575"/>
      <c r="F8" s="575"/>
      <c r="G8" s="575"/>
      <c r="V8" s="41"/>
    </row>
    <row r="9" spans="1:22" ht="18.75" customHeight="1">
      <c r="A9" s="599" t="s">
        <v>20</v>
      </c>
      <c r="B9" s="600" t="s">
        <v>56</v>
      </c>
      <c r="C9" s="601" t="s">
        <v>72</v>
      </c>
      <c r="D9" s="579" t="s">
        <v>74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03"/>
    </row>
    <row r="10" spans="1:22" ht="21">
      <c r="A10" s="599"/>
      <c r="B10" s="600"/>
      <c r="C10" s="602"/>
      <c r="D10" s="604" t="s">
        <v>363</v>
      </c>
      <c r="E10" s="607" t="s">
        <v>21</v>
      </c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9"/>
      <c r="V10" s="504"/>
    </row>
    <row r="11" spans="1:22" ht="15" customHeight="1">
      <c r="A11" s="599"/>
      <c r="B11" s="600"/>
      <c r="C11" s="602"/>
      <c r="D11" s="604"/>
      <c r="E11" s="589" t="s">
        <v>373</v>
      </c>
      <c r="F11" s="589" t="s">
        <v>374</v>
      </c>
      <c r="G11" s="595" t="s">
        <v>375</v>
      </c>
      <c r="H11" s="595" t="s">
        <v>376</v>
      </c>
      <c r="I11" s="592" t="s">
        <v>377</v>
      </c>
      <c r="J11" s="592" t="s">
        <v>378</v>
      </c>
      <c r="K11" s="592" t="s">
        <v>379</v>
      </c>
      <c r="L11" s="592" t="s">
        <v>380</v>
      </c>
      <c r="M11" s="592" t="s">
        <v>381</v>
      </c>
      <c r="N11" s="592" t="s">
        <v>382</v>
      </c>
      <c r="O11" s="592" t="s">
        <v>383</v>
      </c>
      <c r="P11" s="592" t="s">
        <v>384</v>
      </c>
      <c r="Q11" s="592" t="s">
        <v>429</v>
      </c>
      <c r="R11" s="589" t="s">
        <v>683</v>
      </c>
      <c r="S11" s="589" t="s">
        <v>684</v>
      </c>
      <c r="T11" s="589" t="s">
        <v>685</v>
      </c>
      <c r="U11" s="589" t="s">
        <v>686</v>
      </c>
      <c r="V11" s="283"/>
    </row>
    <row r="12" spans="1:22" ht="15" customHeight="1">
      <c r="A12" s="599"/>
      <c r="B12" s="600"/>
      <c r="C12" s="602"/>
      <c r="D12" s="604"/>
      <c r="E12" s="590"/>
      <c r="F12" s="590"/>
      <c r="G12" s="590"/>
      <c r="H12" s="590"/>
      <c r="I12" s="593"/>
      <c r="J12" s="593"/>
      <c r="K12" s="593"/>
      <c r="L12" s="593"/>
      <c r="M12" s="593"/>
      <c r="N12" s="593"/>
      <c r="O12" s="593"/>
      <c r="P12" s="593"/>
      <c r="Q12" s="593"/>
      <c r="R12" s="597"/>
      <c r="S12" s="597"/>
      <c r="T12" s="597"/>
      <c r="U12" s="590"/>
      <c r="V12" s="283"/>
    </row>
    <row r="13" spans="1:22" ht="15" customHeight="1">
      <c r="A13" s="599"/>
      <c r="B13" s="600"/>
      <c r="C13" s="602"/>
      <c r="D13" s="604"/>
      <c r="E13" s="590"/>
      <c r="F13" s="590"/>
      <c r="G13" s="590"/>
      <c r="H13" s="590"/>
      <c r="I13" s="593"/>
      <c r="J13" s="593"/>
      <c r="K13" s="593"/>
      <c r="L13" s="593"/>
      <c r="M13" s="593"/>
      <c r="N13" s="593"/>
      <c r="O13" s="593"/>
      <c r="P13" s="593"/>
      <c r="Q13" s="593"/>
      <c r="R13" s="597"/>
      <c r="S13" s="597"/>
      <c r="T13" s="597"/>
      <c r="U13" s="590"/>
      <c r="V13" s="283"/>
    </row>
    <row r="14" spans="1:22" ht="15" customHeight="1">
      <c r="A14" s="599"/>
      <c r="B14" s="600"/>
      <c r="C14" s="602"/>
      <c r="D14" s="604"/>
      <c r="E14" s="590"/>
      <c r="F14" s="590"/>
      <c r="G14" s="590"/>
      <c r="H14" s="590"/>
      <c r="I14" s="593"/>
      <c r="J14" s="593"/>
      <c r="K14" s="593"/>
      <c r="L14" s="593"/>
      <c r="M14" s="593"/>
      <c r="N14" s="593"/>
      <c r="O14" s="593"/>
      <c r="P14" s="593"/>
      <c r="Q14" s="593"/>
      <c r="R14" s="597"/>
      <c r="S14" s="597"/>
      <c r="T14" s="597"/>
      <c r="U14" s="590"/>
      <c r="V14" s="283"/>
    </row>
    <row r="15" spans="1:22" ht="15" customHeight="1">
      <c r="A15" s="599"/>
      <c r="B15" s="600"/>
      <c r="C15" s="602"/>
      <c r="D15" s="604"/>
      <c r="E15" s="590"/>
      <c r="F15" s="590"/>
      <c r="G15" s="590"/>
      <c r="H15" s="590"/>
      <c r="I15" s="593"/>
      <c r="J15" s="593"/>
      <c r="K15" s="593"/>
      <c r="L15" s="593"/>
      <c r="M15" s="593"/>
      <c r="N15" s="593"/>
      <c r="O15" s="593"/>
      <c r="P15" s="593"/>
      <c r="Q15" s="593"/>
      <c r="R15" s="597"/>
      <c r="S15" s="597"/>
      <c r="T15" s="597"/>
      <c r="U15" s="590"/>
      <c r="V15" s="283"/>
    </row>
    <row r="16" spans="1:22" ht="15" customHeight="1">
      <c r="A16" s="599"/>
      <c r="B16" s="600"/>
      <c r="C16" s="602"/>
      <c r="D16" s="604"/>
      <c r="E16" s="590"/>
      <c r="F16" s="590"/>
      <c r="G16" s="590"/>
      <c r="H16" s="590"/>
      <c r="I16" s="593"/>
      <c r="J16" s="593"/>
      <c r="K16" s="593"/>
      <c r="L16" s="593"/>
      <c r="M16" s="593"/>
      <c r="N16" s="593"/>
      <c r="O16" s="593"/>
      <c r="P16" s="593"/>
      <c r="Q16" s="593"/>
      <c r="R16" s="597"/>
      <c r="S16" s="597"/>
      <c r="T16" s="597"/>
      <c r="U16" s="590"/>
      <c r="V16" s="283"/>
    </row>
    <row r="17" spans="1:22" ht="33.75" customHeight="1">
      <c r="A17" s="599"/>
      <c r="B17" s="600"/>
      <c r="C17" s="602"/>
      <c r="D17" s="604"/>
      <c r="E17" s="590"/>
      <c r="F17" s="590"/>
      <c r="G17" s="590"/>
      <c r="H17" s="590"/>
      <c r="I17" s="593"/>
      <c r="J17" s="593"/>
      <c r="K17" s="593"/>
      <c r="L17" s="593"/>
      <c r="M17" s="593"/>
      <c r="N17" s="593"/>
      <c r="O17" s="593"/>
      <c r="P17" s="593"/>
      <c r="Q17" s="593"/>
      <c r="R17" s="597"/>
      <c r="S17" s="597"/>
      <c r="T17" s="597"/>
      <c r="U17" s="590"/>
      <c r="V17" s="283"/>
    </row>
    <row r="18" spans="1:22" ht="373.5" customHeight="1">
      <c r="A18" s="599"/>
      <c r="B18" s="600"/>
      <c r="C18" s="603"/>
      <c r="D18" s="604"/>
      <c r="E18" s="591"/>
      <c r="F18" s="591"/>
      <c r="G18" s="591"/>
      <c r="H18" s="591"/>
      <c r="I18" s="594"/>
      <c r="J18" s="594"/>
      <c r="K18" s="594"/>
      <c r="L18" s="594"/>
      <c r="M18" s="594"/>
      <c r="N18" s="594"/>
      <c r="O18" s="594"/>
      <c r="P18" s="594"/>
      <c r="Q18" s="594"/>
      <c r="R18" s="598"/>
      <c r="S18" s="598"/>
      <c r="T18" s="598"/>
      <c r="U18" s="591"/>
      <c r="V18" s="283"/>
    </row>
    <row r="19" spans="1:21" s="153" customFormat="1" ht="18">
      <c r="A19" s="486">
        <v>1</v>
      </c>
      <c r="B19" s="486">
        <v>2</v>
      </c>
      <c r="C19" s="486">
        <v>3</v>
      </c>
      <c r="D19" s="486">
        <v>4</v>
      </c>
      <c r="E19" s="486">
        <v>5</v>
      </c>
      <c r="F19" s="486">
        <v>6</v>
      </c>
      <c r="G19" s="486">
        <v>7</v>
      </c>
      <c r="H19" s="486">
        <v>8</v>
      </c>
      <c r="I19" s="486">
        <v>9</v>
      </c>
      <c r="J19" s="486">
        <v>10</v>
      </c>
      <c r="K19" s="486">
        <v>11</v>
      </c>
      <c r="L19" s="486">
        <v>12</v>
      </c>
      <c r="M19" s="486">
        <v>13</v>
      </c>
      <c r="N19" s="486">
        <v>14</v>
      </c>
      <c r="O19" s="486">
        <v>15</v>
      </c>
      <c r="P19" s="486">
        <v>16</v>
      </c>
      <c r="Q19" s="486">
        <v>17</v>
      </c>
      <c r="R19" s="486">
        <v>18</v>
      </c>
      <c r="S19" s="486">
        <v>19</v>
      </c>
      <c r="T19" s="486">
        <v>20</v>
      </c>
      <c r="U19" s="486">
        <v>21</v>
      </c>
    </row>
    <row r="20" spans="1:21" s="25" customFormat="1" ht="34.5">
      <c r="A20" s="10" t="s">
        <v>79</v>
      </c>
      <c r="B20" s="27" t="s">
        <v>81</v>
      </c>
      <c r="C20" s="484" t="s">
        <v>60</v>
      </c>
      <c r="D20" s="28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54" customHeight="1">
      <c r="A21" s="10" t="s">
        <v>84</v>
      </c>
      <c r="B21" s="484">
        <v>100</v>
      </c>
      <c r="C21" s="484" t="s">
        <v>63</v>
      </c>
      <c r="D21" s="460">
        <f>D23</f>
        <v>502800</v>
      </c>
      <c r="E21" s="461">
        <f>E23</f>
        <v>260800</v>
      </c>
      <c r="F21" s="461">
        <v>0</v>
      </c>
      <c r="G21" s="461">
        <v>0</v>
      </c>
      <c r="H21" s="461">
        <v>0</v>
      </c>
      <c r="I21" s="460">
        <f>I23</f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f>Q23</f>
        <v>242000</v>
      </c>
      <c r="R21" s="28"/>
      <c r="S21" s="28"/>
      <c r="T21" s="28"/>
      <c r="U21" s="28">
        <v>0</v>
      </c>
    </row>
    <row r="22" spans="1:21" ht="54" hidden="1">
      <c r="A22" s="2" t="s">
        <v>61</v>
      </c>
      <c r="B22" s="22" t="s">
        <v>82</v>
      </c>
      <c r="C22" s="486">
        <v>180</v>
      </c>
      <c r="D22" s="461">
        <v>0</v>
      </c>
      <c r="E22" s="462"/>
      <c r="F22" s="462"/>
      <c r="G22" s="462"/>
      <c r="H22" s="462"/>
      <c r="I22" s="46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36">
      <c r="A23" s="2" t="s">
        <v>89</v>
      </c>
      <c r="B23" s="486">
        <v>150</v>
      </c>
      <c r="C23" s="486">
        <v>180</v>
      </c>
      <c r="D23" s="460">
        <f>E23+F23+G23+H23+I23+J23+K23+L23+M23+N23+O23+P23+Q23+R23+S23+T23+U23</f>
        <v>502800</v>
      </c>
      <c r="E23" s="473">
        <v>260800</v>
      </c>
      <c r="F23" s="464"/>
      <c r="G23" s="464"/>
      <c r="H23" s="464"/>
      <c r="I23" s="474"/>
      <c r="J23" s="486"/>
      <c r="K23" s="486"/>
      <c r="L23" s="486"/>
      <c r="M23" s="486"/>
      <c r="N23" s="486"/>
      <c r="O23" s="486"/>
      <c r="P23" s="486"/>
      <c r="Q23" s="28">
        <v>242000</v>
      </c>
      <c r="R23" s="486"/>
      <c r="S23" s="486"/>
      <c r="T23" s="486"/>
      <c r="U23" s="486"/>
    </row>
    <row r="24" spans="1:21" ht="26.25" customHeight="1">
      <c r="A24" s="2"/>
      <c r="B24" s="486"/>
      <c r="C24" s="486"/>
      <c r="D24" s="460"/>
      <c r="E24" s="464"/>
      <c r="F24" s="464"/>
      <c r="G24" s="464"/>
      <c r="H24" s="464"/>
      <c r="I24" s="465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</row>
    <row r="25" spans="1:21" s="26" customFormat="1" ht="39" customHeight="1">
      <c r="A25" s="30" t="s">
        <v>64</v>
      </c>
      <c r="B25" s="31">
        <v>200</v>
      </c>
      <c r="C25" s="31" t="s">
        <v>63</v>
      </c>
      <c r="D25" s="460">
        <f>D26+D31</f>
        <v>502800</v>
      </c>
      <c r="E25" s="460">
        <f>E26+E31</f>
        <v>260800</v>
      </c>
      <c r="F25" s="466"/>
      <c r="G25" s="466">
        <v>0</v>
      </c>
      <c r="H25" s="466">
        <v>0</v>
      </c>
      <c r="I25" s="467">
        <f>I21</f>
        <v>0</v>
      </c>
      <c r="J25" s="32"/>
      <c r="K25" s="32"/>
      <c r="L25" s="32"/>
      <c r="M25" s="32"/>
      <c r="N25" s="32"/>
      <c r="O25" s="32"/>
      <c r="P25" s="32"/>
      <c r="Q25" s="32">
        <f>Q26</f>
        <v>242000</v>
      </c>
      <c r="R25" s="32"/>
      <c r="S25" s="32"/>
      <c r="T25" s="32"/>
      <c r="U25" s="32">
        <v>0</v>
      </c>
    </row>
    <row r="26" spans="1:21" s="26" customFormat="1" ht="72.75" customHeight="1">
      <c r="A26" s="33" t="s">
        <v>307</v>
      </c>
      <c r="B26" s="31">
        <v>210</v>
      </c>
      <c r="C26" s="31">
        <v>100</v>
      </c>
      <c r="D26" s="460">
        <f>D29</f>
        <v>242000</v>
      </c>
      <c r="E26" s="468">
        <v>0</v>
      </c>
      <c r="F26" s="468"/>
      <c r="G26" s="468">
        <v>0</v>
      </c>
      <c r="H26" s="468">
        <v>0</v>
      </c>
      <c r="I26" s="469">
        <f>I23</f>
        <v>0</v>
      </c>
      <c r="J26" s="34"/>
      <c r="K26" s="34"/>
      <c r="L26" s="34"/>
      <c r="M26" s="34"/>
      <c r="N26" s="34"/>
      <c r="O26" s="34"/>
      <c r="P26" s="34"/>
      <c r="Q26" s="34">
        <f>Q29</f>
        <v>242000</v>
      </c>
      <c r="R26" s="34"/>
      <c r="S26" s="34"/>
      <c r="T26" s="34"/>
      <c r="U26" s="34">
        <v>0</v>
      </c>
    </row>
    <row r="27" spans="1:21" s="26" customFormat="1" ht="54" hidden="1">
      <c r="A27" s="33" t="s">
        <v>308</v>
      </c>
      <c r="B27" s="31">
        <v>211</v>
      </c>
      <c r="C27" s="31">
        <v>111.119</v>
      </c>
      <c r="D27" s="460">
        <v>0</v>
      </c>
      <c r="E27" s="468">
        <v>0</v>
      </c>
      <c r="F27" s="468"/>
      <c r="G27" s="468">
        <v>0</v>
      </c>
      <c r="H27" s="468">
        <v>0</v>
      </c>
      <c r="I27" s="469"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>
        <v>0</v>
      </c>
    </row>
    <row r="28" spans="1:21" s="26" customFormat="1" ht="22.5" hidden="1">
      <c r="A28" s="33" t="s">
        <v>309</v>
      </c>
      <c r="B28" s="31">
        <v>212</v>
      </c>
      <c r="C28" s="31">
        <v>111</v>
      </c>
      <c r="D28" s="460">
        <v>0</v>
      </c>
      <c r="E28" s="468"/>
      <c r="F28" s="468"/>
      <c r="G28" s="468"/>
      <c r="H28" s="468"/>
      <c r="I28" s="46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26" customFormat="1" ht="54">
      <c r="A29" s="35" t="s">
        <v>310</v>
      </c>
      <c r="B29" s="31">
        <v>213</v>
      </c>
      <c r="C29" s="31">
        <v>112</v>
      </c>
      <c r="D29" s="460">
        <f>E29+F29+G29+H29+I29+J29+K29+L29+M29+N29+O29+P29+Q29+R29+S29+T29+U29</f>
        <v>242000</v>
      </c>
      <c r="E29" s="468">
        <v>0</v>
      </c>
      <c r="F29" s="468"/>
      <c r="G29" s="468"/>
      <c r="H29" s="468"/>
      <c r="I29" s="469">
        <f>I23</f>
        <v>0</v>
      </c>
      <c r="J29" s="34"/>
      <c r="K29" s="34"/>
      <c r="L29" s="34"/>
      <c r="M29" s="34"/>
      <c r="N29" s="34"/>
      <c r="O29" s="34"/>
      <c r="P29" s="34"/>
      <c r="Q29" s="34">
        <f>Q23</f>
        <v>242000</v>
      </c>
      <c r="R29" s="34"/>
      <c r="S29" s="34"/>
      <c r="T29" s="34"/>
      <c r="U29" s="34"/>
    </row>
    <row r="30" spans="1:21" s="26" customFormat="1" ht="36">
      <c r="A30" s="33" t="s">
        <v>327</v>
      </c>
      <c r="B30" s="31">
        <v>260</v>
      </c>
      <c r="C30" s="31" t="s">
        <v>63</v>
      </c>
      <c r="D30" s="460">
        <f>D31</f>
        <v>260800</v>
      </c>
      <c r="E30" s="460">
        <f>E31</f>
        <v>260800</v>
      </c>
      <c r="F30" s="468"/>
      <c r="G30" s="468"/>
      <c r="H30" s="468"/>
      <c r="I30" s="46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26" customFormat="1" ht="72">
      <c r="A31" s="33" t="s">
        <v>68</v>
      </c>
      <c r="B31" s="31">
        <v>263</v>
      </c>
      <c r="C31" s="31">
        <v>244</v>
      </c>
      <c r="D31" s="460">
        <f>E31+F31+G31+H31+I31+J31+K31+L31+M31+N31+O31+P31+Q31+R31+S31+T31+U31</f>
        <v>260800</v>
      </c>
      <c r="E31" s="468">
        <f>E32</f>
        <v>260800</v>
      </c>
      <c r="F31" s="468"/>
      <c r="G31" s="468"/>
      <c r="H31" s="468"/>
      <c r="I31" s="46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26" customFormat="1" ht="22.5">
      <c r="A32" s="33" t="s">
        <v>711</v>
      </c>
      <c r="B32" s="31">
        <v>269</v>
      </c>
      <c r="C32" s="31">
        <v>244</v>
      </c>
      <c r="D32" s="460">
        <f>E32+F32+G32+H32+I32+J32+K32+L32+M32+N32+O32+P32+Q32+R32+S32+T32+U32</f>
        <v>260800</v>
      </c>
      <c r="E32" s="468">
        <v>260800</v>
      </c>
      <c r="F32" s="468"/>
      <c r="G32" s="468"/>
      <c r="H32" s="468"/>
      <c r="I32" s="46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26" customFormat="1" ht="34.5">
      <c r="A33" s="10" t="s">
        <v>69</v>
      </c>
      <c r="B33" s="494">
        <v>300</v>
      </c>
      <c r="C33" s="494" t="s">
        <v>63</v>
      </c>
      <c r="D33" s="460">
        <f>D34</f>
        <v>502800</v>
      </c>
      <c r="E33" s="468">
        <f>E34</f>
        <v>260800</v>
      </c>
      <c r="F33" s="468"/>
      <c r="G33" s="468"/>
      <c r="H33" s="468"/>
      <c r="I33" s="469"/>
      <c r="J33" s="34"/>
      <c r="K33" s="34"/>
      <c r="L33" s="34"/>
      <c r="M33" s="34"/>
      <c r="N33" s="34"/>
      <c r="O33" s="34"/>
      <c r="P33" s="34"/>
      <c r="Q33" s="34">
        <f>Q34</f>
        <v>242000</v>
      </c>
      <c r="R33" s="34"/>
      <c r="S33" s="34"/>
      <c r="T33" s="34"/>
      <c r="U33" s="34"/>
    </row>
    <row r="34" spans="1:21" s="26" customFormat="1" ht="36">
      <c r="A34" s="2" t="s">
        <v>339</v>
      </c>
      <c r="B34" s="495">
        <v>310</v>
      </c>
      <c r="C34" s="495">
        <v>510</v>
      </c>
      <c r="D34" s="460">
        <f>E34+Q34</f>
        <v>502800</v>
      </c>
      <c r="E34" s="468">
        <v>260800</v>
      </c>
      <c r="F34" s="468"/>
      <c r="G34" s="468"/>
      <c r="H34" s="468"/>
      <c r="I34" s="469"/>
      <c r="J34" s="34"/>
      <c r="K34" s="34"/>
      <c r="L34" s="34"/>
      <c r="M34" s="34"/>
      <c r="N34" s="34"/>
      <c r="O34" s="34"/>
      <c r="P34" s="34"/>
      <c r="Q34" s="34">
        <v>242000</v>
      </c>
      <c r="R34" s="34"/>
      <c r="S34" s="34"/>
      <c r="T34" s="34"/>
      <c r="U34" s="34"/>
    </row>
    <row r="35" spans="1:21" s="26" customFormat="1" ht="34.5">
      <c r="A35" s="10" t="s">
        <v>70</v>
      </c>
      <c r="B35" s="494">
        <v>400</v>
      </c>
      <c r="C35" s="494"/>
      <c r="D35" s="460">
        <f>D36</f>
        <v>502800</v>
      </c>
      <c r="E35" s="468">
        <f>E36</f>
        <v>260800</v>
      </c>
      <c r="F35" s="468"/>
      <c r="G35" s="468"/>
      <c r="H35" s="468"/>
      <c r="I35" s="469"/>
      <c r="J35" s="34"/>
      <c r="K35" s="34"/>
      <c r="L35" s="34"/>
      <c r="M35" s="34"/>
      <c r="N35" s="34"/>
      <c r="O35" s="34"/>
      <c r="P35" s="34"/>
      <c r="Q35" s="34">
        <f>Q36</f>
        <v>242000</v>
      </c>
      <c r="R35" s="34"/>
      <c r="S35" s="34"/>
      <c r="T35" s="34"/>
      <c r="U35" s="34"/>
    </row>
    <row r="36" spans="1:21" s="26" customFormat="1" ht="36">
      <c r="A36" s="2" t="s">
        <v>341</v>
      </c>
      <c r="B36" s="495">
        <v>410</v>
      </c>
      <c r="C36" s="495">
        <v>610</v>
      </c>
      <c r="D36" s="460">
        <f>E36+Q36</f>
        <v>502800</v>
      </c>
      <c r="E36" s="468">
        <v>260800</v>
      </c>
      <c r="F36" s="468"/>
      <c r="G36" s="468"/>
      <c r="H36" s="468"/>
      <c r="I36" s="469"/>
      <c r="J36" s="34"/>
      <c r="K36" s="34"/>
      <c r="L36" s="34"/>
      <c r="M36" s="34"/>
      <c r="N36" s="34"/>
      <c r="O36" s="34"/>
      <c r="P36" s="34"/>
      <c r="Q36" s="34">
        <v>242000</v>
      </c>
      <c r="R36" s="34"/>
      <c r="S36" s="34"/>
      <c r="T36" s="34"/>
      <c r="U36" s="34"/>
    </row>
    <row r="37" spans="1:21" ht="38.25" customHeight="1">
      <c r="A37" s="10" t="s">
        <v>71</v>
      </c>
      <c r="B37" s="484">
        <v>500</v>
      </c>
      <c r="C37" s="484" t="s">
        <v>63</v>
      </c>
      <c r="D37" s="28">
        <v>0</v>
      </c>
      <c r="E37" s="28">
        <v>0</v>
      </c>
      <c r="F37" s="28"/>
      <c r="G37" s="28">
        <v>0</v>
      </c>
      <c r="H37" s="28">
        <v>0</v>
      </c>
      <c r="I37" s="28">
        <v>0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>
        <v>0</v>
      </c>
    </row>
    <row r="38" spans="1:22" ht="18">
      <c r="A38" s="189" t="s">
        <v>358</v>
      </c>
      <c r="B38" s="189"/>
      <c r="C38" s="189"/>
      <c r="D38" s="18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ht="23.25" customHeight="1">
      <c r="A39" s="20"/>
    </row>
    <row r="41" spans="1:7" ht="23.25" customHeight="1">
      <c r="A41" s="45" t="s">
        <v>589</v>
      </c>
      <c r="B41" s="491" t="s">
        <v>131</v>
      </c>
      <c r="D41" s="6"/>
      <c r="G41" s="491" t="s">
        <v>753</v>
      </c>
    </row>
    <row r="42" spans="1:7" ht="18">
      <c r="A42" s="12" t="s">
        <v>600</v>
      </c>
      <c r="B42" s="488" t="s">
        <v>29</v>
      </c>
      <c r="D42" s="6"/>
      <c r="G42" s="488" t="s">
        <v>127</v>
      </c>
    </row>
    <row r="43" spans="1:7" ht="19.5" customHeight="1">
      <c r="A43" s="45" t="s">
        <v>126</v>
      </c>
      <c r="B43" s="491" t="s">
        <v>131</v>
      </c>
      <c r="D43" s="6"/>
      <c r="G43" s="491" t="s">
        <v>591</v>
      </c>
    </row>
    <row r="44" spans="1:7" ht="22.5" customHeight="1">
      <c r="A44" s="12" t="s">
        <v>601</v>
      </c>
      <c r="B44" s="488" t="s">
        <v>29</v>
      </c>
      <c r="D44" s="6"/>
      <c r="G44" s="488" t="s">
        <v>127</v>
      </c>
    </row>
    <row r="45" s="3" customFormat="1" ht="18">
      <c r="A45" s="3" t="s">
        <v>394</v>
      </c>
    </row>
    <row r="46" s="3" customFormat="1" ht="18">
      <c r="D46" s="61"/>
    </row>
    <row r="47" ht="1.5" customHeight="1"/>
  </sheetData>
  <sheetProtection/>
  <mergeCells count="26">
    <mergeCell ref="D9:U9"/>
    <mergeCell ref="E10:U10"/>
    <mergeCell ref="A4:V4"/>
    <mergeCell ref="A7:V7"/>
    <mergeCell ref="D8:G8"/>
    <mergeCell ref="A9:A18"/>
    <mergeCell ref="B9:B18"/>
    <mergeCell ref="C9:C18"/>
    <mergeCell ref="D10:D18"/>
    <mergeCell ref="E11:E18"/>
    <mergeCell ref="F11:F18"/>
    <mergeCell ref="G11:G18"/>
    <mergeCell ref="H11:H18"/>
    <mergeCell ref="I11:I18"/>
    <mergeCell ref="J11:J18"/>
    <mergeCell ref="K11:K18"/>
    <mergeCell ref="R11:R18"/>
    <mergeCell ref="S11:S18"/>
    <mergeCell ref="T11:T18"/>
    <mergeCell ref="U11:U18"/>
    <mergeCell ref="L11:L18"/>
    <mergeCell ref="M11:M18"/>
    <mergeCell ref="N11:N18"/>
    <mergeCell ref="O11:O18"/>
    <mergeCell ref="P11:P18"/>
    <mergeCell ref="Q11:Q18"/>
  </mergeCells>
  <printOptions/>
  <pageMargins left="0.2" right="0.28" top="0.47" bottom="0.46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Шульга Любовь Александровна</dc:creator>
  <cp:keywords/>
  <dc:description/>
  <cp:lastModifiedBy>user</cp:lastModifiedBy>
  <cp:lastPrinted>2019-02-26T10:47:46Z</cp:lastPrinted>
  <dcterms:created xsi:type="dcterms:W3CDTF">2016-05-04T07:58:02Z</dcterms:created>
  <dcterms:modified xsi:type="dcterms:W3CDTF">2019-02-26T10:54:49Z</dcterms:modified>
  <cp:category/>
  <cp:version/>
  <cp:contentType/>
  <cp:contentStatus/>
</cp:coreProperties>
</file>